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rakova\Nextcloud\VYSLEDKY_HOSPODARENI\VH_2022\k_31122022\"/>
    </mc:Choice>
  </mc:AlternateContent>
  <bookViews>
    <workbookView xWindow="0" yWindow="0" windowWidth="28800" windowHeight="11505"/>
  </bookViews>
  <sheets>
    <sheet name="rok 22" sheetId="1" r:id="rId1"/>
  </sheets>
  <definedNames>
    <definedName name="__xlfn_ANCHORARRAY">NA()</definedName>
    <definedName name="Excel_BuiltIn__FilterDatabase" localSheetId="0">'rok 22'!#REF!</definedName>
    <definedName name="Excel_BuiltIn_Print_Area" localSheetId="0">'rok 22'!$A$1:$D$906</definedName>
    <definedName name="Excel_BuiltIn_Print_Titles" localSheetId="0">'rok 22'!$1:$1</definedName>
    <definedName name="_xlnm.Print_Area" localSheetId="0">'rok 22'!$A$1:$I$906</definedName>
    <definedName name="Print_Titles" localSheetId="0">'rok 22'!$1:$1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K13" i="1"/>
  <c r="I906" i="1"/>
  <c r="I903" i="1"/>
  <c r="H903" i="1"/>
  <c r="E903" i="1"/>
  <c r="D903" i="1"/>
  <c r="C903" i="1"/>
  <c r="G902" i="1"/>
  <c r="D902" i="1"/>
  <c r="H902" i="1" s="1"/>
  <c r="I901" i="1"/>
  <c r="F901" i="1"/>
  <c r="D901" i="1"/>
  <c r="H901" i="1" s="1"/>
  <c r="H900" i="1"/>
  <c r="H899" i="1"/>
  <c r="H898" i="1"/>
  <c r="I897" i="1"/>
  <c r="F897" i="1"/>
  <c r="D897" i="1"/>
  <c r="H897" i="1" s="1"/>
  <c r="I896" i="1"/>
  <c r="G896" i="1"/>
  <c r="D896" i="1"/>
  <c r="H896" i="1" s="1"/>
  <c r="I895" i="1"/>
  <c r="G895" i="1"/>
  <c r="D895" i="1"/>
  <c r="I894" i="1"/>
  <c r="G894" i="1"/>
  <c r="F894" i="1"/>
  <c r="C894" i="1"/>
  <c r="I893" i="1"/>
  <c r="H893" i="1"/>
  <c r="G893" i="1"/>
  <c r="D893" i="1"/>
  <c r="D892" i="1"/>
  <c r="E891" i="1"/>
  <c r="I890" i="1"/>
  <c r="H890" i="1"/>
  <c r="G890" i="1"/>
  <c r="I889" i="1"/>
  <c r="G889" i="1"/>
  <c r="D889" i="1"/>
  <c r="H889" i="1" s="1"/>
  <c r="H888" i="1"/>
  <c r="D888" i="1"/>
  <c r="I887" i="1"/>
  <c r="H887" i="1"/>
  <c r="G887" i="1"/>
  <c r="D887" i="1"/>
  <c r="C887" i="1"/>
  <c r="I886" i="1"/>
  <c r="H884" i="1"/>
  <c r="G884" i="1"/>
  <c r="H883" i="1"/>
  <c r="G883" i="1"/>
  <c r="I882" i="1"/>
  <c r="G882" i="1"/>
  <c r="D882" i="1"/>
  <c r="H881" i="1"/>
  <c r="G881" i="1"/>
  <c r="I880" i="1"/>
  <c r="F880" i="1"/>
  <c r="C880" i="1"/>
  <c r="G880" i="1" s="1"/>
  <c r="H879" i="1"/>
  <c r="G879" i="1"/>
  <c r="H878" i="1"/>
  <c r="G878" i="1"/>
  <c r="D878" i="1"/>
  <c r="H877" i="1"/>
  <c r="G877" i="1"/>
  <c r="H876" i="1"/>
  <c r="F876" i="1"/>
  <c r="D876" i="1"/>
  <c r="C876" i="1"/>
  <c r="F875" i="1"/>
  <c r="G873" i="1"/>
  <c r="D873" i="1"/>
  <c r="I872" i="1"/>
  <c r="H872" i="1"/>
  <c r="G872" i="1"/>
  <c r="I871" i="1"/>
  <c r="H871" i="1"/>
  <c r="G871" i="1"/>
  <c r="H870" i="1"/>
  <c r="G870" i="1"/>
  <c r="H869" i="1"/>
  <c r="G869" i="1"/>
  <c r="I868" i="1"/>
  <c r="F868" i="1"/>
  <c r="C868" i="1"/>
  <c r="G868" i="1" s="1"/>
  <c r="I867" i="1"/>
  <c r="G867" i="1"/>
  <c r="D867" i="1"/>
  <c r="G866" i="1"/>
  <c r="D866" i="1"/>
  <c r="H866" i="1" s="1"/>
  <c r="I865" i="1"/>
  <c r="F865" i="1"/>
  <c r="C865" i="1"/>
  <c r="G865" i="1" s="1"/>
  <c r="I864" i="1"/>
  <c r="I863" i="1"/>
  <c r="H863" i="1"/>
  <c r="G863" i="1"/>
  <c r="G862" i="1"/>
  <c r="D862" i="1"/>
  <c r="H861" i="1"/>
  <c r="G861" i="1"/>
  <c r="D861" i="1"/>
  <c r="G860" i="1"/>
  <c r="D860" i="1"/>
  <c r="G859" i="1"/>
  <c r="D859" i="1"/>
  <c r="G858" i="1"/>
  <c r="D858" i="1"/>
  <c r="G857" i="1"/>
  <c r="D857" i="1"/>
  <c r="H856" i="1"/>
  <c r="G856" i="1"/>
  <c r="D856" i="1"/>
  <c r="I855" i="1"/>
  <c r="G855" i="1"/>
  <c r="F855" i="1"/>
  <c r="C855" i="1"/>
  <c r="C850" i="1" s="1"/>
  <c r="G850" i="1" s="1"/>
  <c r="I854" i="1"/>
  <c r="G854" i="1"/>
  <c r="D854" i="1"/>
  <c r="H854" i="1" s="1"/>
  <c r="I853" i="1"/>
  <c r="G853" i="1"/>
  <c r="D853" i="1"/>
  <c r="H853" i="1" s="1"/>
  <c r="I852" i="1"/>
  <c r="G852" i="1"/>
  <c r="D852" i="1"/>
  <c r="H852" i="1" s="1"/>
  <c r="I851" i="1"/>
  <c r="G851" i="1"/>
  <c r="D851" i="1"/>
  <c r="H851" i="1" s="1"/>
  <c r="I850" i="1"/>
  <c r="F850" i="1"/>
  <c r="I849" i="1"/>
  <c r="H849" i="1"/>
  <c r="G849" i="1"/>
  <c r="D849" i="1"/>
  <c r="H848" i="1"/>
  <c r="G848" i="1"/>
  <c r="H847" i="1"/>
  <c r="G847" i="1"/>
  <c r="I846" i="1"/>
  <c r="H846" i="1"/>
  <c r="G846" i="1"/>
  <c r="I845" i="1"/>
  <c r="H845" i="1"/>
  <c r="G845" i="1"/>
  <c r="I844" i="1"/>
  <c r="D844" i="1"/>
  <c r="H844" i="1" s="1"/>
  <c r="C844" i="1"/>
  <c r="G844" i="1" s="1"/>
  <c r="G843" i="1"/>
  <c r="D843" i="1"/>
  <c r="G842" i="1"/>
  <c r="D842" i="1"/>
  <c r="G841" i="1"/>
  <c r="D841" i="1"/>
  <c r="H841" i="1" s="1"/>
  <c r="I840" i="1"/>
  <c r="H840" i="1"/>
  <c r="I839" i="1"/>
  <c r="G839" i="1"/>
  <c r="C839" i="1"/>
  <c r="I838" i="1"/>
  <c r="H838" i="1"/>
  <c r="G838" i="1"/>
  <c r="I837" i="1"/>
  <c r="G837" i="1"/>
  <c r="C837" i="1"/>
  <c r="H836" i="1"/>
  <c r="G836" i="1"/>
  <c r="I835" i="1"/>
  <c r="G835" i="1"/>
  <c r="D835" i="1"/>
  <c r="C835" i="1"/>
  <c r="I834" i="1"/>
  <c r="H834" i="1"/>
  <c r="G834" i="1"/>
  <c r="I833" i="1"/>
  <c r="G833" i="1"/>
  <c r="F833" i="1"/>
  <c r="C833" i="1"/>
  <c r="I832" i="1"/>
  <c r="H832" i="1"/>
  <c r="G832" i="1"/>
  <c r="D832" i="1"/>
  <c r="I831" i="1"/>
  <c r="C831" i="1"/>
  <c r="G831" i="1" s="1"/>
  <c r="I830" i="1"/>
  <c r="H830" i="1"/>
  <c r="G830" i="1"/>
  <c r="H829" i="1"/>
  <c r="G829" i="1"/>
  <c r="D829" i="1"/>
  <c r="I828" i="1"/>
  <c r="H828" i="1"/>
  <c r="G828" i="1"/>
  <c r="G827" i="1"/>
  <c r="D827" i="1"/>
  <c r="I826" i="1"/>
  <c r="H826" i="1"/>
  <c r="G826" i="1"/>
  <c r="D826" i="1"/>
  <c r="I825" i="1"/>
  <c r="H825" i="1"/>
  <c r="D825" i="1"/>
  <c r="I824" i="1"/>
  <c r="H824" i="1"/>
  <c r="G824" i="1"/>
  <c r="G823" i="1"/>
  <c r="D823" i="1"/>
  <c r="H823" i="1" s="1"/>
  <c r="I822" i="1"/>
  <c r="G822" i="1"/>
  <c r="D822" i="1"/>
  <c r="G821" i="1"/>
  <c r="D821" i="1"/>
  <c r="I820" i="1"/>
  <c r="G820" i="1"/>
  <c r="C820" i="1"/>
  <c r="I819" i="1"/>
  <c r="H819" i="1"/>
  <c r="G819" i="1"/>
  <c r="D819" i="1"/>
  <c r="D815" i="1" s="1"/>
  <c r="H815" i="1" s="1"/>
  <c r="I818" i="1"/>
  <c r="H818" i="1"/>
  <c r="G818" i="1"/>
  <c r="I817" i="1"/>
  <c r="H817" i="1"/>
  <c r="G817" i="1"/>
  <c r="D817" i="1"/>
  <c r="I816" i="1"/>
  <c r="H816" i="1"/>
  <c r="G816" i="1"/>
  <c r="D816" i="1"/>
  <c r="I815" i="1"/>
  <c r="G815" i="1"/>
  <c r="C815" i="1"/>
  <c r="I814" i="1"/>
  <c r="H814" i="1"/>
  <c r="G814" i="1"/>
  <c r="D814" i="1"/>
  <c r="H813" i="1"/>
  <c r="G813" i="1"/>
  <c r="D813" i="1"/>
  <c r="G812" i="1"/>
  <c r="D812" i="1"/>
  <c r="I811" i="1"/>
  <c r="H811" i="1"/>
  <c r="H810" i="1"/>
  <c r="G810" i="1"/>
  <c r="I809" i="1"/>
  <c r="G809" i="1"/>
  <c r="D809" i="1"/>
  <c r="G808" i="1"/>
  <c r="D808" i="1"/>
  <c r="G807" i="1"/>
  <c r="D807" i="1"/>
  <c r="H807" i="1" s="1"/>
  <c r="G806" i="1"/>
  <c r="D806" i="1"/>
  <c r="G805" i="1"/>
  <c r="D805" i="1"/>
  <c r="G804" i="1"/>
  <c r="D804" i="1"/>
  <c r="I803" i="1"/>
  <c r="G803" i="1"/>
  <c r="F803" i="1"/>
  <c r="C803" i="1"/>
  <c r="I802" i="1"/>
  <c r="F802" i="1"/>
  <c r="I801" i="1"/>
  <c r="H801" i="1"/>
  <c r="G801" i="1"/>
  <c r="G800" i="1"/>
  <c r="D800" i="1"/>
  <c r="I799" i="1"/>
  <c r="H799" i="1"/>
  <c r="G799" i="1"/>
  <c r="D799" i="1"/>
  <c r="I798" i="1"/>
  <c r="H798" i="1"/>
  <c r="G798" i="1"/>
  <c r="I797" i="1"/>
  <c r="H797" i="1"/>
  <c r="G797" i="1"/>
  <c r="D797" i="1"/>
  <c r="I796" i="1"/>
  <c r="H796" i="1"/>
  <c r="G796" i="1"/>
  <c r="D796" i="1"/>
  <c r="I795" i="1"/>
  <c r="H795" i="1"/>
  <c r="G795" i="1"/>
  <c r="F795" i="1"/>
  <c r="D795" i="1"/>
  <c r="C795" i="1"/>
  <c r="H794" i="1"/>
  <c r="G794" i="1"/>
  <c r="I793" i="1"/>
  <c r="H793" i="1"/>
  <c r="G793" i="1"/>
  <c r="I792" i="1"/>
  <c r="G792" i="1"/>
  <c r="D792" i="1"/>
  <c r="H792" i="1" s="1"/>
  <c r="I791" i="1"/>
  <c r="H791" i="1"/>
  <c r="G791" i="1"/>
  <c r="H790" i="1"/>
  <c r="G790" i="1"/>
  <c r="G789" i="1"/>
  <c r="D789" i="1"/>
  <c r="D787" i="1" s="1"/>
  <c r="H788" i="1"/>
  <c r="G788" i="1"/>
  <c r="G787" i="1"/>
  <c r="F787" i="1"/>
  <c r="C787" i="1"/>
  <c r="I786" i="1"/>
  <c r="H786" i="1"/>
  <c r="G786" i="1"/>
  <c r="G785" i="1"/>
  <c r="F785" i="1"/>
  <c r="C785" i="1"/>
  <c r="H784" i="1"/>
  <c r="G784" i="1"/>
  <c r="D784" i="1"/>
  <c r="I783" i="1"/>
  <c r="H783" i="1"/>
  <c r="G783" i="1"/>
  <c r="G782" i="1"/>
  <c r="D782" i="1"/>
  <c r="H782" i="1" s="1"/>
  <c r="I781" i="1"/>
  <c r="G781" i="1"/>
  <c r="F781" i="1"/>
  <c r="D781" i="1"/>
  <c r="C781" i="1"/>
  <c r="I780" i="1"/>
  <c r="H780" i="1"/>
  <c r="G780" i="1"/>
  <c r="D780" i="1"/>
  <c r="I779" i="1"/>
  <c r="G779" i="1"/>
  <c r="F779" i="1"/>
  <c r="C779" i="1"/>
  <c r="H778" i="1"/>
  <c r="G778" i="1"/>
  <c r="D778" i="1"/>
  <c r="H777" i="1"/>
  <c r="G777" i="1"/>
  <c r="D777" i="1"/>
  <c r="G776" i="1"/>
  <c r="D776" i="1"/>
  <c r="I775" i="1"/>
  <c r="D775" i="1"/>
  <c r="H775" i="1" s="1"/>
  <c r="C775" i="1"/>
  <c r="I774" i="1"/>
  <c r="G774" i="1"/>
  <c r="D774" i="1"/>
  <c r="I773" i="1"/>
  <c r="F773" i="1"/>
  <c r="F767" i="1" s="1"/>
  <c r="H772" i="1"/>
  <c r="G772" i="1"/>
  <c r="D772" i="1"/>
  <c r="H771" i="1"/>
  <c r="G771" i="1"/>
  <c r="H770" i="1"/>
  <c r="G770" i="1"/>
  <c r="D770" i="1"/>
  <c r="I769" i="1"/>
  <c r="H769" i="1"/>
  <c r="G769" i="1"/>
  <c r="D769" i="1"/>
  <c r="I768" i="1"/>
  <c r="F768" i="1"/>
  <c r="D768" i="1"/>
  <c r="C768" i="1"/>
  <c r="I767" i="1"/>
  <c r="I766" i="1"/>
  <c r="H766" i="1"/>
  <c r="G766" i="1"/>
  <c r="D766" i="1"/>
  <c r="I765" i="1"/>
  <c r="H765" i="1"/>
  <c r="D765" i="1"/>
  <c r="G764" i="1"/>
  <c r="D764" i="1"/>
  <c r="G763" i="1"/>
  <c r="D763" i="1"/>
  <c r="G762" i="1"/>
  <c r="D762" i="1"/>
  <c r="I761" i="1"/>
  <c r="G761" i="1"/>
  <c r="F761" i="1"/>
  <c r="C761" i="1"/>
  <c r="I760" i="1"/>
  <c r="F760" i="1"/>
  <c r="H759" i="1"/>
  <c r="G758" i="1"/>
  <c r="D758" i="1"/>
  <c r="D755" i="1" s="1"/>
  <c r="I757" i="1"/>
  <c r="H757" i="1"/>
  <c r="G757" i="1"/>
  <c r="H756" i="1"/>
  <c r="G756" i="1"/>
  <c r="D756" i="1"/>
  <c r="I755" i="1"/>
  <c r="H755" i="1"/>
  <c r="F755" i="1"/>
  <c r="C755" i="1"/>
  <c r="G755" i="1" s="1"/>
  <c r="I754" i="1"/>
  <c r="G754" i="1"/>
  <c r="D754" i="1"/>
  <c r="H754" i="1" s="1"/>
  <c r="I753" i="1"/>
  <c r="G753" i="1"/>
  <c r="D753" i="1"/>
  <c r="H753" i="1" s="1"/>
  <c r="I752" i="1"/>
  <c r="G752" i="1"/>
  <c r="F752" i="1"/>
  <c r="D752" i="1"/>
  <c r="H752" i="1" s="1"/>
  <c r="C752" i="1"/>
  <c r="G751" i="1"/>
  <c r="D751" i="1"/>
  <c r="D750" i="1" s="1"/>
  <c r="D749" i="1" s="1"/>
  <c r="H749" i="1" s="1"/>
  <c r="G750" i="1"/>
  <c r="C750" i="1"/>
  <c r="I749" i="1"/>
  <c r="F749" i="1"/>
  <c r="C749" i="1"/>
  <c r="G749" i="1" s="1"/>
  <c r="H748" i="1"/>
  <c r="G748" i="1"/>
  <c r="H747" i="1"/>
  <c r="G747" i="1"/>
  <c r="I746" i="1"/>
  <c r="D746" i="1"/>
  <c r="H746" i="1" s="1"/>
  <c r="I745" i="1"/>
  <c r="G745" i="1"/>
  <c r="D745" i="1"/>
  <c r="H745" i="1" s="1"/>
  <c r="I744" i="1"/>
  <c r="G744" i="1"/>
  <c r="F744" i="1"/>
  <c r="C744" i="1"/>
  <c r="D743" i="1"/>
  <c r="H742" i="1"/>
  <c r="G742" i="1"/>
  <c r="H741" i="1"/>
  <c r="G741" i="1"/>
  <c r="H740" i="1"/>
  <c r="G740" i="1"/>
  <c r="H739" i="1"/>
  <c r="G739" i="1"/>
  <c r="H738" i="1"/>
  <c r="F738" i="1"/>
  <c r="D738" i="1"/>
  <c r="C738" i="1"/>
  <c r="I737" i="1"/>
  <c r="D737" i="1"/>
  <c r="G736" i="1"/>
  <c r="D736" i="1"/>
  <c r="D734" i="1" s="1"/>
  <c r="H735" i="1"/>
  <c r="D735" i="1"/>
  <c r="I734" i="1"/>
  <c r="H734" i="1"/>
  <c r="G734" i="1"/>
  <c r="C734" i="1"/>
  <c r="I733" i="1"/>
  <c r="F733" i="1"/>
  <c r="I732" i="1"/>
  <c r="F732" i="1"/>
  <c r="I731" i="1"/>
  <c r="H731" i="1"/>
  <c r="G731" i="1"/>
  <c r="D731" i="1"/>
  <c r="I730" i="1"/>
  <c r="F730" i="1"/>
  <c r="H728" i="1"/>
  <c r="H727" i="1"/>
  <c r="H726" i="1"/>
  <c r="G726" i="1"/>
  <c r="D726" i="1"/>
  <c r="I725" i="1"/>
  <c r="H725" i="1"/>
  <c r="G725" i="1"/>
  <c r="D725" i="1"/>
  <c r="I724" i="1"/>
  <c r="H724" i="1"/>
  <c r="F724" i="1"/>
  <c r="D724" i="1"/>
  <c r="C724" i="1"/>
  <c r="G724" i="1" s="1"/>
  <c r="I723" i="1"/>
  <c r="H723" i="1"/>
  <c r="G723" i="1"/>
  <c r="H722" i="1"/>
  <c r="G722" i="1"/>
  <c r="D722" i="1"/>
  <c r="C722" i="1"/>
  <c r="I721" i="1"/>
  <c r="H721" i="1"/>
  <c r="G721" i="1"/>
  <c r="D721" i="1"/>
  <c r="I720" i="1"/>
  <c r="H720" i="1"/>
  <c r="D720" i="1"/>
  <c r="C720" i="1"/>
  <c r="I719" i="1"/>
  <c r="G719" i="1"/>
  <c r="D719" i="1"/>
  <c r="I718" i="1"/>
  <c r="F718" i="1"/>
  <c r="H717" i="1"/>
  <c r="G717" i="1"/>
  <c r="H716" i="1"/>
  <c r="G716" i="1"/>
  <c r="H715" i="1"/>
  <c r="G715" i="1"/>
  <c r="H714" i="1"/>
  <c r="D714" i="1"/>
  <c r="C714" i="1"/>
  <c r="I713" i="1"/>
  <c r="G713" i="1"/>
  <c r="D713" i="1"/>
  <c r="H713" i="1" s="1"/>
  <c r="I712" i="1"/>
  <c r="G712" i="1"/>
  <c r="D712" i="1"/>
  <c r="C712" i="1"/>
  <c r="I711" i="1"/>
  <c r="F711" i="1"/>
  <c r="I710" i="1"/>
  <c r="H710" i="1"/>
  <c r="G710" i="1"/>
  <c r="I709" i="1"/>
  <c r="H709" i="1"/>
  <c r="G709" i="1"/>
  <c r="I708" i="1"/>
  <c r="H708" i="1"/>
  <c r="G708" i="1"/>
  <c r="D708" i="1"/>
  <c r="I707" i="1"/>
  <c r="H707" i="1"/>
  <c r="G707" i="1"/>
  <c r="D707" i="1"/>
  <c r="I706" i="1"/>
  <c r="H706" i="1"/>
  <c r="G706" i="1"/>
  <c r="I705" i="1"/>
  <c r="G705" i="1"/>
  <c r="D705" i="1"/>
  <c r="I704" i="1"/>
  <c r="G704" i="1"/>
  <c r="D704" i="1"/>
  <c r="H704" i="1" s="1"/>
  <c r="I703" i="1"/>
  <c r="F703" i="1"/>
  <c r="I701" i="1"/>
  <c r="H701" i="1"/>
  <c r="D701" i="1"/>
  <c r="C701" i="1"/>
  <c r="G701" i="1" s="1"/>
  <c r="I700" i="1"/>
  <c r="H700" i="1"/>
  <c r="D700" i="1"/>
  <c r="C700" i="1"/>
  <c r="G700" i="1" s="1"/>
  <c r="I699" i="1"/>
  <c r="D699" i="1"/>
  <c r="C699" i="1"/>
  <c r="I698" i="1"/>
  <c r="F698" i="1"/>
  <c r="I697" i="1"/>
  <c r="F697" i="1"/>
  <c r="E695" i="1"/>
  <c r="H694" i="1"/>
  <c r="D693" i="1"/>
  <c r="H693" i="1" s="1"/>
  <c r="I692" i="1"/>
  <c r="H692" i="1"/>
  <c r="D692" i="1"/>
  <c r="I691" i="1"/>
  <c r="G691" i="1"/>
  <c r="D691" i="1"/>
  <c r="H691" i="1" s="1"/>
  <c r="D690" i="1"/>
  <c r="H690" i="1" s="1"/>
  <c r="C690" i="1"/>
  <c r="G690" i="1" s="1"/>
  <c r="I689" i="1"/>
  <c r="G689" i="1"/>
  <c r="D689" i="1"/>
  <c r="H689" i="1" s="1"/>
  <c r="C689" i="1"/>
  <c r="I688" i="1"/>
  <c r="H688" i="1"/>
  <c r="G688" i="1"/>
  <c r="D688" i="1"/>
  <c r="C688" i="1"/>
  <c r="I687" i="1"/>
  <c r="H687" i="1"/>
  <c r="D687" i="1"/>
  <c r="C687" i="1"/>
  <c r="G687" i="1" s="1"/>
  <c r="I686" i="1"/>
  <c r="D686" i="1"/>
  <c r="C686" i="1"/>
  <c r="G686" i="1" s="1"/>
  <c r="I685" i="1"/>
  <c r="H685" i="1"/>
  <c r="G685" i="1"/>
  <c r="I684" i="1"/>
  <c r="H684" i="1"/>
  <c r="D684" i="1"/>
  <c r="C684" i="1"/>
  <c r="I683" i="1"/>
  <c r="F683" i="1"/>
  <c r="I682" i="1"/>
  <c r="E682" i="1"/>
  <c r="I681" i="1"/>
  <c r="G681" i="1"/>
  <c r="D681" i="1"/>
  <c r="H681" i="1" s="1"/>
  <c r="C681" i="1"/>
  <c r="H680" i="1"/>
  <c r="G680" i="1"/>
  <c r="G679" i="1"/>
  <c r="D679" i="1"/>
  <c r="H678" i="1"/>
  <c r="G678" i="1"/>
  <c r="I677" i="1"/>
  <c r="G677" i="1"/>
  <c r="D677" i="1"/>
  <c r="I676" i="1"/>
  <c r="H676" i="1"/>
  <c r="G676" i="1"/>
  <c r="I675" i="1"/>
  <c r="H675" i="1"/>
  <c r="G675" i="1"/>
  <c r="D675" i="1"/>
  <c r="I674" i="1"/>
  <c r="G674" i="1"/>
  <c r="C674" i="1"/>
  <c r="I673" i="1"/>
  <c r="G673" i="1"/>
  <c r="D673" i="1"/>
  <c r="I672" i="1"/>
  <c r="G672" i="1"/>
  <c r="D672" i="1"/>
  <c r="C672" i="1"/>
  <c r="I671" i="1"/>
  <c r="G671" i="1"/>
  <c r="D671" i="1"/>
  <c r="I670" i="1"/>
  <c r="D670" i="1"/>
  <c r="C670" i="1"/>
  <c r="G670" i="1" s="1"/>
  <c r="I669" i="1"/>
  <c r="G669" i="1"/>
  <c r="D669" i="1"/>
  <c r="D668" i="1" s="1"/>
  <c r="I668" i="1"/>
  <c r="C668" i="1"/>
  <c r="G668" i="1" s="1"/>
  <c r="I667" i="1"/>
  <c r="G667" i="1"/>
  <c r="D667" i="1"/>
  <c r="H667" i="1" s="1"/>
  <c r="I666" i="1"/>
  <c r="H666" i="1"/>
  <c r="G666" i="1"/>
  <c r="D666" i="1"/>
  <c r="C666" i="1"/>
  <c r="I665" i="1"/>
  <c r="G665" i="1"/>
  <c r="D665" i="1"/>
  <c r="D664" i="1" s="1"/>
  <c r="I664" i="1"/>
  <c r="G664" i="1"/>
  <c r="C664" i="1"/>
  <c r="C657" i="1" s="1"/>
  <c r="G657" i="1" s="1"/>
  <c r="I663" i="1"/>
  <c r="H663" i="1"/>
  <c r="G663" i="1"/>
  <c r="D663" i="1"/>
  <c r="I662" i="1"/>
  <c r="H662" i="1"/>
  <c r="G662" i="1"/>
  <c r="D662" i="1"/>
  <c r="I661" i="1"/>
  <c r="H661" i="1"/>
  <c r="G661" i="1"/>
  <c r="D661" i="1"/>
  <c r="C661" i="1"/>
  <c r="I660" i="1"/>
  <c r="H660" i="1"/>
  <c r="G660" i="1"/>
  <c r="D660" i="1"/>
  <c r="H659" i="1"/>
  <c r="G659" i="1"/>
  <c r="I658" i="1"/>
  <c r="H658" i="1"/>
  <c r="I657" i="1"/>
  <c r="F657" i="1"/>
  <c r="F656" i="1"/>
  <c r="E656" i="1"/>
  <c r="I656" i="1" s="1"/>
  <c r="I654" i="1"/>
  <c r="H654" i="1"/>
  <c r="G654" i="1"/>
  <c r="I653" i="1"/>
  <c r="H653" i="1"/>
  <c r="G653" i="1"/>
  <c r="I652" i="1"/>
  <c r="H652" i="1"/>
  <c r="G652" i="1"/>
  <c r="D652" i="1"/>
  <c r="I651" i="1"/>
  <c r="H651" i="1"/>
  <c r="G651" i="1"/>
  <c r="D651" i="1"/>
  <c r="D650" i="1" s="1"/>
  <c r="I650" i="1"/>
  <c r="H650" i="1"/>
  <c r="F650" i="1"/>
  <c r="C650" i="1"/>
  <c r="I649" i="1"/>
  <c r="G649" i="1"/>
  <c r="D649" i="1"/>
  <c r="H648" i="1"/>
  <c r="I647" i="1"/>
  <c r="H647" i="1"/>
  <c r="G647" i="1"/>
  <c r="I646" i="1"/>
  <c r="F646" i="1"/>
  <c r="I644" i="1"/>
  <c r="H644" i="1"/>
  <c r="G644" i="1"/>
  <c r="H643" i="1"/>
  <c r="D643" i="1"/>
  <c r="I642" i="1"/>
  <c r="H642" i="1"/>
  <c r="G642" i="1"/>
  <c r="I641" i="1"/>
  <c r="H641" i="1"/>
  <c r="G641" i="1"/>
  <c r="I640" i="1"/>
  <c r="H640" i="1"/>
  <c r="G640" i="1"/>
  <c r="I639" i="1"/>
  <c r="G639" i="1"/>
  <c r="D639" i="1"/>
  <c r="H638" i="1"/>
  <c r="D638" i="1"/>
  <c r="I637" i="1"/>
  <c r="G637" i="1"/>
  <c r="D637" i="1"/>
  <c r="H637" i="1" s="1"/>
  <c r="I636" i="1"/>
  <c r="G636" i="1"/>
  <c r="D636" i="1"/>
  <c r="H636" i="1" s="1"/>
  <c r="I635" i="1"/>
  <c r="G635" i="1"/>
  <c r="D635" i="1"/>
  <c r="H635" i="1" s="1"/>
  <c r="C635" i="1"/>
  <c r="H634" i="1"/>
  <c r="I633" i="1"/>
  <c r="H633" i="1"/>
  <c r="D633" i="1"/>
  <c r="C633" i="1"/>
  <c r="I632" i="1"/>
  <c r="H632" i="1"/>
  <c r="F632" i="1"/>
  <c r="D632" i="1"/>
  <c r="D624" i="1" s="1"/>
  <c r="H624" i="1" s="1"/>
  <c r="H22" i="1" s="1"/>
  <c r="H631" i="1"/>
  <c r="I630" i="1"/>
  <c r="H630" i="1"/>
  <c r="G630" i="1"/>
  <c r="I629" i="1"/>
  <c r="H629" i="1"/>
  <c r="G629" i="1"/>
  <c r="H628" i="1"/>
  <c r="G628" i="1"/>
  <c r="I627" i="1"/>
  <c r="H627" i="1"/>
  <c r="G627" i="1"/>
  <c r="I626" i="1"/>
  <c r="H626" i="1"/>
  <c r="G626" i="1"/>
  <c r="H625" i="1"/>
  <c r="I624" i="1"/>
  <c r="F624" i="1"/>
  <c r="I622" i="1"/>
  <c r="G622" i="1"/>
  <c r="D622" i="1"/>
  <c r="I621" i="1"/>
  <c r="C621" i="1"/>
  <c r="G621" i="1" s="1"/>
  <c r="I620" i="1"/>
  <c r="F620" i="1"/>
  <c r="I618" i="1"/>
  <c r="H618" i="1"/>
  <c r="D618" i="1"/>
  <c r="C618" i="1"/>
  <c r="H617" i="1"/>
  <c r="G617" i="1"/>
  <c r="I616" i="1"/>
  <c r="H616" i="1"/>
  <c r="G616" i="1"/>
  <c r="I615" i="1"/>
  <c r="H615" i="1"/>
  <c r="G615" i="1"/>
  <c r="I614" i="1"/>
  <c r="H614" i="1"/>
  <c r="G614" i="1"/>
  <c r="I613" i="1"/>
  <c r="H613" i="1"/>
  <c r="G613" i="1"/>
  <c r="I612" i="1"/>
  <c r="H612" i="1"/>
  <c r="G612" i="1"/>
  <c r="I611" i="1"/>
  <c r="G611" i="1"/>
  <c r="D611" i="1"/>
  <c r="H611" i="1" s="1"/>
  <c r="I610" i="1"/>
  <c r="H610" i="1"/>
  <c r="G610" i="1"/>
  <c r="I609" i="1"/>
  <c r="H609" i="1"/>
  <c r="G609" i="1"/>
  <c r="I608" i="1"/>
  <c r="F608" i="1"/>
  <c r="D608" i="1"/>
  <c r="H608" i="1" s="1"/>
  <c r="I607" i="1"/>
  <c r="F607" i="1"/>
  <c r="I606" i="1"/>
  <c r="H606" i="1"/>
  <c r="G606" i="1"/>
  <c r="D606" i="1"/>
  <c r="I605" i="1"/>
  <c r="H605" i="1"/>
  <c r="D605" i="1"/>
  <c r="C605" i="1"/>
  <c r="G605" i="1" s="1"/>
  <c r="I604" i="1"/>
  <c r="D604" i="1"/>
  <c r="H604" i="1" s="1"/>
  <c r="C604" i="1"/>
  <c r="G604" i="1" s="1"/>
  <c r="I603" i="1"/>
  <c r="D603" i="1"/>
  <c r="H603" i="1" s="1"/>
  <c r="C603" i="1"/>
  <c r="I601" i="1"/>
  <c r="G601" i="1"/>
  <c r="D601" i="1"/>
  <c r="C601" i="1"/>
  <c r="I600" i="1"/>
  <c r="F600" i="1"/>
  <c r="I599" i="1"/>
  <c r="H599" i="1"/>
  <c r="G599" i="1"/>
  <c r="I598" i="1"/>
  <c r="I597" i="1"/>
  <c r="H597" i="1"/>
  <c r="G597" i="1"/>
  <c r="I596" i="1"/>
  <c r="H596" i="1"/>
  <c r="G596" i="1"/>
  <c r="D596" i="1"/>
  <c r="D595" i="1" s="1"/>
  <c r="I595" i="1"/>
  <c r="H595" i="1"/>
  <c r="F595" i="1"/>
  <c r="C595" i="1"/>
  <c r="G595" i="1" s="1"/>
  <c r="I594" i="1"/>
  <c r="H594" i="1"/>
  <c r="G594" i="1"/>
  <c r="D594" i="1"/>
  <c r="I593" i="1"/>
  <c r="H593" i="1"/>
  <c r="G593" i="1"/>
  <c r="D593" i="1"/>
  <c r="G592" i="1"/>
  <c r="D592" i="1"/>
  <c r="H592" i="1" s="1"/>
  <c r="I591" i="1"/>
  <c r="G591" i="1"/>
  <c r="F591" i="1"/>
  <c r="D591" i="1"/>
  <c r="H591" i="1" s="1"/>
  <c r="I590" i="1"/>
  <c r="G590" i="1"/>
  <c r="D590" i="1"/>
  <c r="H590" i="1" s="1"/>
  <c r="I589" i="1"/>
  <c r="H589" i="1"/>
  <c r="G589" i="1"/>
  <c r="I588" i="1"/>
  <c r="G588" i="1"/>
  <c r="F588" i="1"/>
  <c r="D588" i="1"/>
  <c r="H588" i="1" s="1"/>
  <c r="C588" i="1"/>
  <c r="I587" i="1"/>
  <c r="H587" i="1"/>
  <c r="G587" i="1"/>
  <c r="D587" i="1"/>
  <c r="C587" i="1"/>
  <c r="I586" i="1"/>
  <c r="H586" i="1"/>
  <c r="D586" i="1"/>
  <c r="D585" i="1" s="1"/>
  <c r="C586" i="1"/>
  <c r="G586" i="1" s="1"/>
  <c r="I585" i="1"/>
  <c r="F585" i="1"/>
  <c r="I584" i="1"/>
  <c r="F584" i="1"/>
  <c r="G583" i="1"/>
  <c r="D583" i="1"/>
  <c r="H583" i="1" s="1"/>
  <c r="I582" i="1"/>
  <c r="D582" i="1"/>
  <c r="C582" i="1"/>
  <c r="G582" i="1" s="1"/>
  <c r="I581" i="1"/>
  <c r="G581" i="1"/>
  <c r="D581" i="1"/>
  <c r="H581" i="1" s="1"/>
  <c r="I580" i="1"/>
  <c r="G580" i="1"/>
  <c r="D580" i="1"/>
  <c r="H580" i="1" s="1"/>
  <c r="I579" i="1"/>
  <c r="F579" i="1"/>
  <c r="I578" i="1"/>
  <c r="I575" i="1"/>
  <c r="H575" i="1"/>
  <c r="G575" i="1"/>
  <c r="D575" i="1"/>
  <c r="I574" i="1"/>
  <c r="H574" i="1"/>
  <c r="G574" i="1"/>
  <c r="D574" i="1"/>
  <c r="D573" i="1" s="1"/>
  <c r="I573" i="1"/>
  <c r="H573" i="1"/>
  <c r="F573" i="1"/>
  <c r="C573" i="1"/>
  <c r="G573" i="1" s="1"/>
  <c r="I571" i="1"/>
  <c r="H571" i="1"/>
  <c r="D571" i="1"/>
  <c r="I570" i="1"/>
  <c r="H570" i="1"/>
  <c r="G570" i="1"/>
  <c r="I569" i="1"/>
  <c r="G569" i="1"/>
  <c r="D569" i="1"/>
  <c r="I568" i="1"/>
  <c r="F568" i="1"/>
  <c r="C568" i="1"/>
  <c r="G568" i="1" s="1"/>
  <c r="I566" i="1"/>
  <c r="H566" i="1"/>
  <c r="D566" i="1"/>
  <c r="D556" i="1" s="1"/>
  <c r="I565" i="1"/>
  <c r="G565" i="1"/>
  <c r="D565" i="1"/>
  <c r="H565" i="1" s="1"/>
  <c r="I564" i="1"/>
  <c r="G564" i="1"/>
  <c r="D564" i="1"/>
  <c r="H564" i="1" s="1"/>
  <c r="I563" i="1"/>
  <c r="G563" i="1"/>
  <c r="F563" i="1"/>
  <c r="D563" i="1"/>
  <c r="H563" i="1" s="1"/>
  <c r="C563" i="1"/>
  <c r="I561" i="1"/>
  <c r="H561" i="1"/>
  <c r="G561" i="1"/>
  <c r="D561" i="1"/>
  <c r="C561" i="1"/>
  <c r="I560" i="1"/>
  <c r="H560" i="1"/>
  <c r="G560" i="1"/>
  <c r="D560" i="1"/>
  <c r="I559" i="1"/>
  <c r="H559" i="1"/>
  <c r="G559" i="1"/>
  <c r="D559" i="1"/>
  <c r="D558" i="1" s="1"/>
  <c r="I558" i="1"/>
  <c r="H558" i="1"/>
  <c r="F558" i="1"/>
  <c r="C558" i="1"/>
  <c r="G558" i="1" s="1"/>
  <c r="I556" i="1"/>
  <c r="H556" i="1"/>
  <c r="F556" i="1"/>
  <c r="C556" i="1"/>
  <c r="G556" i="1" s="1"/>
  <c r="I555" i="1"/>
  <c r="F555" i="1"/>
  <c r="D555" i="1"/>
  <c r="H555" i="1" s="1"/>
  <c r="C555" i="1"/>
  <c r="G555" i="1" s="1"/>
  <c r="I554" i="1"/>
  <c r="G554" i="1"/>
  <c r="F554" i="1"/>
  <c r="C554" i="1"/>
  <c r="C552" i="1" s="1"/>
  <c r="G552" i="1" s="1"/>
  <c r="I553" i="1"/>
  <c r="H553" i="1"/>
  <c r="G553" i="1"/>
  <c r="D553" i="1"/>
  <c r="I552" i="1"/>
  <c r="F552" i="1"/>
  <c r="I550" i="1"/>
  <c r="H550" i="1"/>
  <c r="G550" i="1"/>
  <c r="F550" i="1"/>
  <c r="D550" i="1"/>
  <c r="I549" i="1"/>
  <c r="H549" i="1"/>
  <c r="D549" i="1"/>
  <c r="C549" i="1"/>
  <c r="I548" i="1"/>
  <c r="G548" i="1"/>
  <c r="D548" i="1"/>
  <c r="H548" i="1" s="1"/>
  <c r="I547" i="1"/>
  <c r="F547" i="1"/>
  <c r="D547" i="1"/>
  <c r="H547" i="1" s="1"/>
  <c r="I545" i="1"/>
  <c r="H545" i="1"/>
  <c r="G545" i="1"/>
  <c r="D545" i="1"/>
  <c r="C545" i="1"/>
  <c r="I544" i="1"/>
  <c r="H544" i="1"/>
  <c r="G544" i="1"/>
  <c r="D544" i="1"/>
  <c r="I543" i="1"/>
  <c r="H543" i="1"/>
  <c r="F543" i="1"/>
  <c r="D543" i="1"/>
  <c r="C543" i="1"/>
  <c r="G543" i="1" s="1"/>
  <c r="I541" i="1"/>
  <c r="D541" i="1"/>
  <c r="C541" i="1"/>
  <c r="I540" i="1"/>
  <c r="G540" i="1"/>
  <c r="D540" i="1"/>
  <c r="I539" i="1"/>
  <c r="G539" i="1"/>
  <c r="D539" i="1"/>
  <c r="I538" i="1"/>
  <c r="F538" i="1"/>
  <c r="I536" i="1"/>
  <c r="F536" i="1"/>
  <c r="I535" i="1"/>
  <c r="F535" i="1"/>
  <c r="I534" i="1"/>
  <c r="F534" i="1"/>
  <c r="C534" i="1"/>
  <c r="I533" i="1"/>
  <c r="F533" i="1"/>
  <c r="I532" i="1"/>
  <c r="F532" i="1"/>
  <c r="I531" i="1"/>
  <c r="F531" i="1"/>
  <c r="H529" i="1"/>
  <c r="G529" i="1"/>
  <c r="G528" i="1"/>
  <c r="D528" i="1"/>
  <c r="F527" i="1"/>
  <c r="C527" i="1"/>
  <c r="G527" i="1" s="1"/>
  <c r="I525" i="1"/>
  <c r="H525" i="1"/>
  <c r="G525" i="1"/>
  <c r="I524" i="1"/>
  <c r="H524" i="1"/>
  <c r="G524" i="1"/>
  <c r="I523" i="1"/>
  <c r="H523" i="1"/>
  <c r="F523" i="1"/>
  <c r="D523" i="1"/>
  <c r="C523" i="1"/>
  <c r="G523" i="1" s="1"/>
  <c r="H521" i="1"/>
  <c r="G521" i="1"/>
  <c r="H520" i="1"/>
  <c r="I519" i="1"/>
  <c r="G519" i="1"/>
  <c r="D519" i="1"/>
  <c r="H519" i="1" s="1"/>
  <c r="I518" i="1"/>
  <c r="G518" i="1"/>
  <c r="D518" i="1"/>
  <c r="H518" i="1" s="1"/>
  <c r="H517" i="1"/>
  <c r="I516" i="1"/>
  <c r="G516" i="1"/>
  <c r="D516" i="1"/>
  <c r="C516" i="1"/>
  <c r="I515" i="1"/>
  <c r="H515" i="1"/>
  <c r="G515" i="1"/>
  <c r="D515" i="1"/>
  <c r="I514" i="1"/>
  <c r="G514" i="1"/>
  <c r="F514" i="1"/>
  <c r="C514" i="1"/>
  <c r="I513" i="1"/>
  <c r="H513" i="1"/>
  <c r="G513" i="1"/>
  <c r="I512" i="1"/>
  <c r="H512" i="1"/>
  <c r="G512" i="1"/>
  <c r="I511" i="1"/>
  <c r="F511" i="1"/>
  <c r="C511" i="1"/>
  <c r="G511" i="1" s="1"/>
  <c r="G17" i="1" s="1"/>
  <c r="I509" i="1"/>
  <c r="H509" i="1"/>
  <c r="G509" i="1"/>
  <c r="I508" i="1"/>
  <c r="H508" i="1"/>
  <c r="G508" i="1"/>
  <c r="I507" i="1"/>
  <c r="H507" i="1"/>
  <c r="G507" i="1"/>
  <c r="D507" i="1"/>
  <c r="C507" i="1"/>
  <c r="I506" i="1"/>
  <c r="H506" i="1"/>
  <c r="G506" i="1"/>
  <c r="I505" i="1"/>
  <c r="H505" i="1"/>
  <c r="F505" i="1"/>
  <c r="D505" i="1"/>
  <c r="C505" i="1"/>
  <c r="G505" i="1" s="1"/>
  <c r="G16" i="1" s="1"/>
  <c r="I503" i="1"/>
  <c r="H503" i="1"/>
  <c r="G503" i="1"/>
  <c r="I502" i="1"/>
  <c r="I15" i="1" s="1"/>
  <c r="H502" i="1"/>
  <c r="F502" i="1"/>
  <c r="D502" i="1"/>
  <c r="C502" i="1"/>
  <c r="G502" i="1" s="1"/>
  <c r="I500" i="1"/>
  <c r="G500" i="1"/>
  <c r="D500" i="1"/>
  <c r="H500" i="1" s="1"/>
  <c r="I499" i="1"/>
  <c r="G499" i="1"/>
  <c r="C499" i="1"/>
  <c r="I498" i="1"/>
  <c r="H498" i="1"/>
  <c r="G498" i="1"/>
  <c r="D498" i="1"/>
  <c r="C498" i="1"/>
  <c r="C496" i="1" s="1"/>
  <c r="H497" i="1"/>
  <c r="I496" i="1"/>
  <c r="G496" i="1"/>
  <c r="F496" i="1"/>
  <c r="D496" i="1"/>
  <c r="H496" i="1" s="1"/>
  <c r="D495" i="1"/>
  <c r="D494" i="1" s="1"/>
  <c r="H494" i="1" s="1"/>
  <c r="C494" i="1"/>
  <c r="H493" i="1"/>
  <c r="G492" i="1"/>
  <c r="D492" i="1"/>
  <c r="G491" i="1"/>
  <c r="D491" i="1"/>
  <c r="I490" i="1"/>
  <c r="H490" i="1"/>
  <c r="G490" i="1"/>
  <c r="G489" i="1"/>
  <c r="D489" i="1"/>
  <c r="G488" i="1"/>
  <c r="D488" i="1"/>
  <c r="H487" i="1"/>
  <c r="G487" i="1"/>
  <c r="I486" i="1"/>
  <c r="G486" i="1"/>
  <c r="D486" i="1"/>
  <c r="G485" i="1"/>
  <c r="D485" i="1"/>
  <c r="I484" i="1"/>
  <c r="F484" i="1"/>
  <c r="C484" i="1"/>
  <c r="G484" i="1" s="1"/>
  <c r="G483" i="1"/>
  <c r="D483" i="1"/>
  <c r="D481" i="1" s="1"/>
  <c r="H482" i="1"/>
  <c r="G482" i="1"/>
  <c r="I481" i="1"/>
  <c r="H481" i="1"/>
  <c r="F481" i="1"/>
  <c r="C481" i="1"/>
  <c r="G481" i="1" s="1"/>
  <c r="H480" i="1"/>
  <c r="D480" i="1"/>
  <c r="C480" i="1"/>
  <c r="G480" i="1" s="1"/>
  <c r="H479" i="1"/>
  <c r="G479" i="1"/>
  <c r="D479" i="1"/>
  <c r="H478" i="1"/>
  <c r="G478" i="1"/>
  <c r="D478" i="1"/>
  <c r="G477" i="1"/>
  <c r="D477" i="1"/>
  <c r="H477" i="1" s="1"/>
  <c r="G476" i="1"/>
  <c r="D476" i="1"/>
  <c r="H476" i="1" s="1"/>
  <c r="F475" i="1"/>
  <c r="C475" i="1"/>
  <c r="I474" i="1"/>
  <c r="F474" i="1"/>
  <c r="H473" i="1"/>
  <c r="D473" i="1"/>
  <c r="D472" i="1"/>
  <c r="H472" i="1" s="1"/>
  <c r="D471" i="1"/>
  <c r="H471" i="1" s="1"/>
  <c r="D470" i="1"/>
  <c r="H470" i="1" s="1"/>
  <c r="D469" i="1"/>
  <c r="D468" i="1" s="1"/>
  <c r="H468" i="1" s="1"/>
  <c r="F468" i="1"/>
  <c r="C468" i="1"/>
  <c r="D467" i="1"/>
  <c r="H467" i="1" s="1"/>
  <c r="H466" i="1"/>
  <c r="D466" i="1"/>
  <c r="D463" i="1" s="1"/>
  <c r="D465" i="1"/>
  <c r="H465" i="1" s="1"/>
  <c r="H464" i="1"/>
  <c r="H463" i="1"/>
  <c r="F463" i="1"/>
  <c r="C463" i="1"/>
  <c r="H462" i="1"/>
  <c r="D461" i="1"/>
  <c r="H461" i="1" s="1"/>
  <c r="H460" i="1"/>
  <c r="D460" i="1"/>
  <c r="D457" i="1" s="1"/>
  <c r="D459" i="1"/>
  <c r="H459" i="1" s="1"/>
  <c r="H458" i="1"/>
  <c r="H457" i="1"/>
  <c r="F457" i="1"/>
  <c r="C457" i="1"/>
  <c r="C456" i="1" s="1"/>
  <c r="F456" i="1"/>
  <c r="H455" i="1"/>
  <c r="D455" i="1"/>
  <c r="F454" i="1"/>
  <c r="D454" i="1"/>
  <c r="H454" i="1" s="1"/>
  <c r="C454" i="1"/>
  <c r="F453" i="1"/>
  <c r="D453" i="1"/>
  <c r="H453" i="1" s="1"/>
  <c r="C453" i="1"/>
  <c r="D452" i="1"/>
  <c r="H452" i="1" s="1"/>
  <c r="H451" i="1"/>
  <c r="D451" i="1"/>
  <c r="F450" i="1"/>
  <c r="D450" i="1"/>
  <c r="H450" i="1" s="1"/>
  <c r="C450" i="1"/>
  <c r="D449" i="1"/>
  <c r="D448" i="1"/>
  <c r="C448" i="1"/>
  <c r="C447" i="1" s="1"/>
  <c r="F447" i="1"/>
  <c r="I446" i="1"/>
  <c r="H446" i="1"/>
  <c r="G446" i="1"/>
  <c r="I445" i="1"/>
  <c r="G445" i="1"/>
  <c r="D445" i="1"/>
  <c r="H445" i="1" s="1"/>
  <c r="I444" i="1"/>
  <c r="H444" i="1"/>
  <c r="G444" i="1"/>
  <c r="I443" i="1"/>
  <c r="H443" i="1"/>
  <c r="G443" i="1"/>
  <c r="H442" i="1"/>
  <c r="G442" i="1"/>
  <c r="I441" i="1"/>
  <c r="G441" i="1"/>
  <c r="F441" i="1"/>
  <c r="D441" i="1"/>
  <c r="H441" i="1" s="1"/>
  <c r="C441" i="1"/>
  <c r="I440" i="1"/>
  <c r="H440" i="1"/>
  <c r="G440" i="1"/>
  <c r="D440" i="1"/>
  <c r="I439" i="1"/>
  <c r="H439" i="1"/>
  <c r="G439" i="1"/>
  <c r="D439" i="1"/>
  <c r="C439" i="1"/>
  <c r="I438" i="1"/>
  <c r="F438" i="1"/>
  <c r="C438" i="1"/>
  <c r="G438" i="1" s="1"/>
  <c r="H437" i="1"/>
  <c r="H436" i="1"/>
  <c r="H435" i="1"/>
  <c r="H434" i="1"/>
  <c r="D433" i="1"/>
  <c r="H433" i="1" s="1"/>
  <c r="F432" i="1"/>
  <c r="C432" i="1"/>
  <c r="F431" i="1"/>
  <c r="C431" i="1"/>
  <c r="H430" i="1"/>
  <c r="G430" i="1"/>
  <c r="D430" i="1"/>
  <c r="G429" i="1"/>
  <c r="D429" i="1"/>
  <c r="H428" i="1"/>
  <c r="G428" i="1"/>
  <c r="H427" i="1"/>
  <c r="G427" i="1"/>
  <c r="D427" i="1"/>
  <c r="G426" i="1"/>
  <c r="F426" i="1"/>
  <c r="C426" i="1"/>
  <c r="I425" i="1"/>
  <c r="H425" i="1"/>
  <c r="G425" i="1"/>
  <c r="D425" i="1"/>
  <c r="G424" i="1"/>
  <c r="D424" i="1"/>
  <c r="I423" i="1"/>
  <c r="D423" i="1"/>
  <c r="H423" i="1" s="1"/>
  <c r="I422" i="1"/>
  <c r="G422" i="1"/>
  <c r="D422" i="1"/>
  <c r="H422" i="1" s="1"/>
  <c r="H421" i="1"/>
  <c r="G421" i="1"/>
  <c r="G420" i="1"/>
  <c r="D420" i="1"/>
  <c r="H420" i="1" s="1"/>
  <c r="G419" i="1"/>
  <c r="D419" i="1"/>
  <c r="G418" i="1"/>
  <c r="D418" i="1"/>
  <c r="G417" i="1"/>
  <c r="D417" i="1"/>
  <c r="H416" i="1"/>
  <c r="I415" i="1"/>
  <c r="H415" i="1"/>
  <c r="G415" i="1"/>
  <c r="H414" i="1"/>
  <c r="G414" i="1"/>
  <c r="D414" i="1"/>
  <c r="H413" i="1"/>
  <c r="G413" i="1"/>
  <c r="H412" i="1"/>
  <c r="G412" i="1"/>
  <c r="D412" i="1"/>
  <c r="H411" i="1"/>
  <c r="G411" i="1"/>
  <c r="H410" i="1"/>
  <c r="G410" i="1"/>
  <c r="H409" i="1"/>
  <c r="G409" i="1"/>
  <c r="I408" i="1"/>
  <c r="G408" i="1"/>
  <c r="D408" i="1"/>
  <c r="H408" i="1" s="1"/>
  <c r="I407" i="1"/>
  <c r="G407" i="1"/>
  <c r="D407" i="1"/>
  <c r="H407" i="1" s="1"/>
  <c r="G406" i="1"/>
  <c r="D406" i="1"/>
  <c r="I405" i="1"/>
  <c r="H405" i="1"/>
  <c r="G405" i="1"/>
  <c r="D405" i="1"/>
  <c r="I404" i="1"/>
  <c r="H404" i="1"/>
  <c r="G404" i="1"/>
  <c r="D404" i="1"/>
  <c r="I403" i="1"/>
  <c r="H403" i="1"/>
  <c r="G403" i="1"/>
  <c r="I402" i="1"/>
  <c r="H402" i="1"/>
  <c r="G402" i="1"/>
  <c r="D402" i="1"/>
  <c r="I401" i="1"/>
  <c r="H401" i="1"/>
  <c r="G401" i="1"/>
  <c r="H400" i="1"/>
  <c r="G400" i="1"/>
  <c r="H399" i="1"/>
  <c r="G399" i="1"/>
  <c r="G398" i="1"/>
  <c r="D398" i="1"/>
  <c r="H398" i="1" s="1"/>
  <c r="H397" i="1"/>
  <c r="G397" i="1"/>
  <c r="D397" i="1"/>
  <c r="H396" i="1"/>
  <c r="G396" i="1"/>
  <c r="D396" i="1"/>
  <c r="H395" i="1"/>
  <c r="G394" i="1"/>
  <c r="D394" i="1"/>
  <c r="I393" i="1"/>
  <c r="G393" i="1"/>
  <c r="D393" i="1"/>
  <c r="H393" i="1" s="1"/>
  <c r="C393" i="1"/>
  <c r="H392" i="1"/>
  <c r="G392" i="1"/>
  <c r="I391" i="1"/>
  <c r="D391" i="1"/>
  <c r="C391" i="1"/>
  <c r="G391" i="1" s="1"/>
  <c r="I390" i="1"/>
  <c r="G390" i="1"/>
  <c r="D390" i="1"/>
  <c r="I389" i="1"/>
  <c r="F389" i="1"/>
  <c r="C389" i="1"/>
  <c r="G389" i="1" s="1"/>
  <c r="I388" i="1"/>
  <c r="H388" i="1"/>
  <c r="G388" i="1"/>
  <c r="I387" i="1"/>
  <c r="G387" i="1"/>
  <c r="D387" i="1"/>
  <c r="H387" i="1" s="1"/>
  <c r="H386" i="1"/>
  <c r="G386" i="1"/>
  <c r="D386" i="1"/>
  <c r="I385" i="1"/>
  <c r="H385" i="1"/>
  <c r="G385" i="1"/>
  <c r="D385" i="1"/>
  <c r="G384" i="1"/>
  <c r="D384" i="1"/>
  <c r="I383" i="1"/>
  <c r="G383" i="1"/>
  <c r="D383" i="1"/>
  <c r="H383" i="1" s="1"/>
  <c r="G382" i="1"/>
  <c r="D382" i="1"/>
  <c r="H381" i="1"/>
  <c r="G381" i="1"/>
  <c r="D381" i="1"/>
  <c r="H380" i="1"/>
  <c r="G380" i="1"/>
  <c r="H379" i="1"/>
  <c r="G379" i="1"/>
  <c r="D379" i="1"/>
  <c r="I378" i="1"/>
  <c r="H378" i="1"/>
  <c r="G378" i="1"/>
  <c r="D378" i="1"/>
  <c r="I377" i="1"/>
  <c r="H377" i="1"/>
  <c r="D377" i="1"/>
  <c r="C377" i="1"/>
  <c r="I376" i="1"/>
  <c r="G376" i="1"/>
  <c r="D376" i="1"/>
  <c r="H376" i="1" s="1"/>
  <c r="I375" i="1"/>
  <c r="F375" i="1"/>
  <c r="I374" i="1"/>
  <c r="F374" i="1"/>
  <c r="H373" i="1"/>
  <c r="G373" i="1"/>
  <c r="I372" i="1"/>
  <c r="H372" i="1"/>
  <c r="G372" i="1"/>
  <c r="D372" i="1"/>
  <c r="I371" i="1"/>
  <c r="H371" i="1"/>
  <c r="G371" i="1"/>
  <c r="G370" i="1"/>
  <c r="D370" i="1"/>
  <c r="I369" i="1"/>
  <c r="H369" i="1"/>
  <c r="F369" i="1"/>
  <c r="D369" i="1"/>
  <c r="C369" i="1"/>
  <c r="G369" i="1" s="1"/>
  <c r="G368" i="1"/>
  <c r="D368" i="1"/>
  <c r="H367" i="1"/>
  <c r="G367" i="1"/>
  <c r="I366" i="1"/>
  <c r="F366" i="1"/>
  <c r="C366" i="1"/>
  <c r="C365" i="1" s="1"/>
  <c r="G365" i="1" s="1"/>
  <c r="I365" i="1"/>
  <c r="F365" i="1"/>
  <c r="I364" i="1"/>
  <c r="F364" i="1"/>
  <c r="I362" i="1"/>
  <c r="H362" i="1"/>
  <c r="G362" i="1"/>
  <c r="H361" i="1"/>
  <c r="G361" i="1"/>
  <c r="D361" i="1"/>
  <c r="G360" i="1"/>
  <c r="D360" i="1"/>
  <c r="H360" i="1" s="1"/>
  <c r="C360" i="1"/>
  <c r="I359" i="1"/>
  <c r="H359" i="1"/>
  <c r="G359" i="1"/>
  <c r="F359" i="1"/>
  <c r="D359" i="1"/>
  <c r="C359" i="1"/>
  <c r="H358" i="1"/>
  <c r="G358" i="1"/>
  <c r="D358" i="1"/>
  <c r="I357" i="1"/>
  <c r="H357" i="1"/>
  <c r="G357" i="1"/>
  <c r="D357" i="1"/>
  <c r="I356" i="1"/>
  <c r="H356" i="1"/>
  <c r="F356" i="1"/>
  <c r="D356" i="1"/>
  <c r="C356" i="1"/>
  <c r="G356" i="1" s="1"/>
  <c r="G355" i="1"/>
  <c r="D355" i="1"/>
  <c r="G354" i="1"/>
  <c r="H353" i="1"/>
  <c r="G353" i="1"/>
  <c r="I352" i="1"/>
  <c r="G352" i="1"/>
  <c r="D352" i="1"/>
  <c r="H352" i="1" s="1"/>
  <c r="C352" i="1"/>
  <c r="G351" i="1"/>
  <c r="D351" i="1"/>
  <c r="D348" i="1" s="1"/>
  <c r="D347" i="1" s="1"/>
  <c r="H347" i="1" s="1"/>
  <c r="G350" i="1"/>
  <c r="D350" i="1"/>
  <c r="I349" i="1"/>
  <c r="H349" i="1"/>
  <c r="G349" i="1"/>
  <c r="D349" i="1"/>
  <c r="I348" i="1"/>
  <c r="H348" i="1"/>
  <c r="G348" i="1"/>
  <c r="F348" i="1"/>
  <c r="C348" i="1"/>
  <c r="C347" i="1" s="1"/>
  <c r="G347" i="1" s="1"/>
  <c r="I347" i="1"/>
  <c r="F347" i="1"/>
  <c r="I346" i="1"/>
  <c r="H346" i="1"/>
  <c r="G346" i="1"/>
  <c r="I345" i="1"/>
  <c r="G345" i="1"/>
  <c r="D345" i="1"/>
  <c r="H345" i="1" s="1"/>
  <c r="F344" i="1"/>
  <c r="D344" i="1"/>
  <c r="H344" i="1" s="1"/>
  <c r="C344" i="1"/>
  <c r="G344" i="1" s="1"/>
  <c r="H343" i="1"/>
  <c r="G343" i="1"/>
  <c r="I342" i="1"/>
  <c r="D342" i="1"/>
  <c r="H342" i="1" s="1"/>
  <c r="C342" i="1"/>
  <c r="G342" i="1" s="1"/>
  <c r="H341" i="1"/>
  <c r="D341" i="1"/>
  <c r="H340" i="1"/>
  <c r="H339" i="1"/>
  <c r="H338" i="1"/>
  <c r="F337" i="1"/>
  <c r="D337" i="1"/>
  <c r="C337" i="1"/>
  <c r="I336" i="1"/>
  <c r="F336" i="1"/>
  <c r="C336" i="1"/>
  <c r="G336" i="1" s="1"/>
  <c r="I335" i="1"/>
  <c r="H335" i="1"/>
  <c r="G335" i="1"/>
  <c r="I334" i="1"/>
  <c r="H334" i="1"/>
  <c r="G334" i="1"/>
  <c r="D334" i="1"/>
  <c r="I333" i="1"/>
  <c r="H333" i="1"/>
  <c r="G333" i="1"/>
  <c r="I332" i="1"/>
  <c r="H332" i="1"/>
  <c r="G332" i="1"/>
  <c r="G331" i="1"/>
  <c r="D331" i="1"/>
  <c r="H331" i="1" s="1"/>
  <c r="H330" i="1"/>
  <c r="G330" i="1"/>
  <c r="D330" i="1"/>
  <c r="H329" i="1"/>
  <c r="I328" i="1"/>
  <c r="F328" i="1"/>
  <c r="C328" i="1"/>
  <c r="G328" i="1" s="1"/>
  <c r="H327" i="1"/>
  <c r="H326" i="1"/>
  <c r="I325" i="1"/>
  <c r="G325" i="1"/>
  <c r="D325" i="1"/>
  <c r="H325" i="1" s="1"/>
  <c r="I324" i="1"/>
  <c r="G324" i="1"/>
  <c r="D324" i="1"/>
  <c r="H324" i="1" s="1"/>
  <c r="I323" i="1"/>
  <c r="H323" i="1"/>
  <c r="G323" i="1"/>
  <c r="H322" i="1"/>
  <c r="G322" i="1"/>
  <c r="D322" i="1"/>
  <c r="I321" i="1"/>
  <c r="H321" i="1"/>
  <c r="G321" i="1"/>
  <c r="D321" i="1"/>
  <c r="I320" i="1"/>
  <c r="G320" i="1"/>
  <c r="F320" i="1"/>
  <c r="C320" i="1"/>
  <c r="I319" i="1"/>
  <c r="H319" i="1"/>
  <c r="G319" i="1"/>
  <c r="I318" i="1"/>
  <c r="H318" i="1"/>
  <c r="G318" i="1"/>
  <c r="D318" i="1"/>
  <c r="I317" i="1"/>
  <c r="H317" i="1"/>
  <c r="F317" i="1"/>
  <c r="D317" i="1"/>
  <c r="C317" i="1"/>
  <c r="I316" i="1"/>
  <c r="F316" i="1"/>
  <c r="I315" i="1"/>
  <c r="H315" i="1"/>
  <c r="G315" i="1"/>
  <c r="D315" i="1"/>
  <c r="H314" i="1"/>
  <c r="G314" i="1"/>
  <c r="J313" i="1"/>
  <c r="I313" i="1" s="1"/>
  <c r="H313" i="1"/>
  <c r="G313" i="1"/>
  <c r="D313" i="1"/>
  <c r="I312" i="1"/>
  <c r="H312" i="1"/>
  <c r="G312" i="1"/>
  <c r="I311" i="1"/>
  <c r="H311" i="1"/>
  <c r="G311" i="1"/>
  <c r="H310" i="1"/>
  <c r="G310" i="1"/>
  <c r="H309" i="1"/>
  <c r="G309" i="1"/>
  <c r="I308" i="1"/>
  <c r="D308" i="1"/>
  <c r="C308" i="1"/>
  <c r="I307" i="1"/>
  <c r="F307" i="1"/>
  <c r="I306" i="1"/>
  <c r="F306" i="1"/>
  <c r="I305" i="1"/>
  <c r="G305" i="1"/>
  <c r="D305" i="1"/>
  <c r="H305" i="1" s="1"/>
  <c r="I304" i="1"/>
  <c r="G304" i="1"/>
  <c r="D304" i="1"/>
  <c r="H303" i="1"/>
  <c r="G303" i="1"/>
  <c r="D303" i="1"/>
  <c r="H302" i="1"/>
  <c r="G302" i="1"/>
  <c r="D302" i="1"/>
  <c r="C302" i="1"/>
  <c r="I301" i="1"/>
  <c r="F301" i="1"/>
  <c r="C301" i="1"/>
  <c r="G301" i="1" s="1"/>
  <c r="I300" i="1"/>
  <c r="G300" i="1"/>
  <c r="D300" i="1"/>
  <c r="H300" i="1" s="1"/>
  <c r="G299" i="1"/>
  <c r="D299" i="1"/>
  <c r="H299" i="1" s="1"/>
  <c r="H298" i="1"/>
  <c r="G298" i="1"/>
  <c r="I297" i="1"/>
  <c r="H297" i="1"/>
  <c r="H296" i="1"/>
  <c r="D296" i="1"/>
  <c r="H295" i="1"/>
  <c r="H294" i="1"/>
  <c r="H293" i="1"/>
  <c r="D293" i="1"/>
  <c r="H292" i="1"/>
  <c r="G292" i="1"/>
  <c r="I291" i="1"/>
  <c r="F291" i="1"/>
  <c r="D291" i="1"/>
  <c r="C291" i="1"/>
  <c r="G291" i="1" s="1"/>
  <c r="I290" i="1"/>
  <c r="F290" i="1"/>
  <c r="C290" i="1"/>
  <c r="G290" i="1" s="1"/>
  <c r="I289" i="1"/>
  <c r="G289" i="1"/>
  <c r="D289" i="1"/>
  <c r="H289" i="1" s="1"/>
  <c r="I288" i="1"/>
  <c r="G288" i="1"/>
  <c r="D288" i="1"/>
  <c r="H288" i="1" s="1"/>
  <c r="I287" i="1"/>
  <c r="D287" i="1"/>
  <c r="H287" i="1" s="1"/>
  <c r="C287" i="1"/>
  <c r="G287" i="1" s="1"/>
  <c r="I286" i="1"/>
  <c r="G286" i="1"/>
  <c r="D286" i="1"/>
  <c r="H286" i="1" s="1"/>
  <c r="C286" i="1"/>
  <c r="D285" i="1"/>
  <c r="H285" i="1" s="1"/>
  <c r="I284" i="1"/>
  <c r="F284" i="1"/>
  <c r="D284" i="1"/>
  <c r="C284" i="1"/>
  <c r="I283" i="1"/>
  <c r="F283" i="1"/>
  <c r="I282" i="1"/>
  <c r="F282" i="1"/>
  <c r="H281" i="1"/>
  <c r="G281" i="1"/>
  <c r="H280" i="1"/>
  <c r="G280" i="1"/>
  <c r="D279" i="1"/>
  <c r="H279" i="1" s="1"/>
  <c r="C279" i="1"/>
  <c r="G279" i="1" s="1"/>
  <c r="H278" i="1"/>
  <c r="G278" i="1"/>
  <c r="I277" i="1"/>
  <c r="H277" i="1"/>
  <c r="G277" i="1"/>
  <c r="D277" i="1"/>
  <c r="I276" i="1"/>
  <c r="H276" i="1"/>
  <c r="G276" i="1"/>
  <c r="I275" i="1"/>
  <c r="H275" i="1"/>
  <c r="G275" i="1"/>
  <c r="I274" i="1"/>
  <c r="G274" i="1"/>
  <c r="F274" i="1"/>
  <c r="D274" i="1"/>
  <c r="H274" i="1" s="1"/>
  <c r="C274" i="1"/>
  <c r="H273" i="1"/>
  <c r="G273" i="1"/>
  <c r="D273" i="1"/>
  <c r="G272" i="1"/>
  <c r="D272" i="1"/>
  <c r="H271" i="1"/>
  <c r="G271" i="1"/>
  <c r="F270" i="1"/>
  <c r="C270" i="1"/>
  <c r="G270" i="1" s="1"/>
  <c r="I269" i="1"/>
  <c r="F269" i="1"/>
  <c r="C269" i="1"/>
  <c r="G269" i="1" s="1"/>
  <c r="I268" i="1"/>
  <c r="F268" i="1"/>
  <c r="F13" i="1" s="1"/>
  <c r="I266" i="1"/>
  <c r="F266" i="1"/>
  <c r="I263" i="1"/>
  <c r="I262" i="1"/>
  <c r="F262" i="1"/>
  <c r="I261" i="1"/>
  <c r="H261" i="1"/>
  <c r="G261" i="1"/>
  <c r="I260" i="1"/>
  <c r="H260" i="1"/>
  <c r="F260" i="1"/>
  <c r="D260" i="1"/>
  <c r="C260" i="1"/>
  <c r="G260" i="1" s="1"/>
  <c r="H259" i="1"/>
  <c r="G259" i="1"/>
  <c r="H258" i="1"/>
  <c r="I257" i="1"/>
  <c r="D257" i="1"/>
  <c r="H257" i="1" s="1"/>
  <c r="C257" i="1"/>
  <c r="G257" i="1" s="1"/>
  <c r="I256" i="1"/>
  <c r="G256" i="1"/>
  <c r="D256" i="1"/>
  <c r="H256" i="1" s="1"/>
  <c r="C256" i="1"/>
  <c r="I255" i="1"/>
  <c r="F255" i="1"/>
  <c r="I253" i="1"/>
  <c r="I7" i="1" s="1"/>
  <c r="F253" i="1"/>
  <c r="F7" i="1" s="1"/>
  <c r="H251" i="1"/>
  <c r="I250" i="1"/>
  <c r="H250" i="1"/>
  <c r="G250" i="1"/>
  <c r="I249" i="1"/>
  <c r="H249" i="1"/>
  <c r="G249" i="1"/>
  <c r="D249" i="1"/>
  <c r="H248" i="1"/>
  <c r="D247" i="1"/>
  <c r="H247" i="1" s="1"/>
  <c r="G246" i="1"/>
  <c r="D246" i="1"/>
  <c r="H246" i="1" s="1"/>
  <c r="I245" i="1"/>
  <c r="F245" i="1"/>
  <c r="D245" i="1"/>
  <c r="H245" i="1" s="1"/>
  <c r="C245" i="1"/>
  <c r="G245" i="1" s="1"/>
  <c r="H244" i="1"/>
  <c r="H243" i="1"/>
  <c r="G243" i="1"/>
  <c r="H242" i="1"/>
  <c r="D242" i="1"/>
  <c r="D241" i="1"/>
  <c r="H241" i="1" s="1"/>
  <c r="G240" i="1"/>
  <c r="D240" i="1"/>
  <c r="H239" i="1"/>
  <c r="G239" i="1"/>
  <c r="D239" i="1"/>
  <c r="H238" i="1"/>
  <c r="H237" i="1"/>
  <c r="H236" i="1"/>
  <c r="D236" i="1"/>
  <c r="G235" i="1"/>
  <c r="D235" i="1"/>
  <c r="H235" i="1" s="1"/>
  <c r="G234" i="1"/>
  <c r="D234" i="1"/>
  <c r="H234" i="1" s="1"/>
  <c r="G233" i="1"/>
  <c r="D233" i="1"/>
  <c r="D232" i="1" s="1"/>
  <c r="H232" i="1" s="1"/>
  <c r="I232" i="1"/>
  <c r="G232" i="1"/>
  <c r="F232" i="1"/>
  <c r="C232" i="1"/>
  <c r="G231" i="1"/>
  <c r="D231" i="1"/>
  <c r="I230" i="1"/>
  <c r="G230" i="1"/>
  <c r="F230" i="1"/>
  <c r="D230" i="1"/>
  <c r="C230" i="1"/>
  <c r="I229" i="1"/>
  <c r="H229" i="1"/>
  <c r="G229" i="1"/>
  <c r="H228" i="1"/>
  <c r="I227" i="1"/>
  <c r="H227" i="1"/>
  <c r="D227" i="1"/>
  <c r="D226" i="1"/>
  <c r="H226" i="1" s="1"/>
  <c r="H225" i="1"/>
  <c r="D225" i="1"/>
  <c r="H224" i="1"/>
  <c r="I223" i="1"/>
  <c r="H223" i="1"/>
  <c r="H222" i="1"/>
  <c r="I221" i="1"/>
  <c r="D221" i="1"/>
  <c r="H221" i="1" s="1"/>
  <c r="I220" i="1"/>
  <c r="D220" i="1"/>
  <c r="H220" i="1" s="1"/>
  <c r="H219" i="1"/>
  <c r="I218" i="1"/>
  <c r="F218" i="1"/>
  <c r="D218" i="1"/>
  <c r="H218" i="1" s="1"/>
  <c r="C218" i="1"/>
  <c r="I217" i="1"/>
  <c r="G217" i="1"/>
  <c r="D217" i="1"/>
  <c r="I216" i="1"/>
  <c r="I215" i="1"/>
  <c r="H215" i="1"/>
  <c r="G215" i="1"/>
  <c r="D215" i="1"/>
  <c r="I214" i="1"/>
  <c r="H214" i="1"/>
  <c r="G214" i="1"/>
  <c r="I213" i="1"/>
  <c r="G213" i="1"/>
  <c r="D213" i="1"/>
  <c r="H213" i="1" s="1"/>
  <c r="I212" i="1"/>
  <c r="G212" i="1"/>
  <c r="D212" i="1"/>
  <c r="D208" i="1" s="1"/>
  <c r="H208" i="1" s="1"/>
  <c r="H211" i="1"/>
  <c r="I210" i="1"/>
  <c r="H210" i="1"/>
  <c r="G210" i="1"/>
  <c r="D210" i="1"/>
  <c r="I209" i="1"/>
  <c r="H209" i="1"/>
  <c r="G209" i="1"/>
  <c r="I208" i="1"/>
  <c r="G208" i="1"/>
  <c r="F208" i="1"/>
  <c r="C208" i="1"/>
  <c r="I207" i="1"/>
  <c r="H207" i="1"/>
  <c r="H206" i="1"/>
  <c r="D205" i="1"/>
  <c r="H205" i="1" s="1"/>
  <c r="H204" i="1"/>
  <c r="D204" i="1"/>
  <c r="D203" i="1"/>
  <c r="H203" i="1" s="1"/>
  <c r="H202" i="1"/>
  <c r="D202" i="1"/>
  <c r="H201" i="1"/>
  <c r="G200" i="1"/>
  <c r="D200" i="1"/>
  <c r="D191" i="1" s="1"/>
  <c r="H191" i="1" s="1"/>
  <c r="H199" i="1"/>
  <c r="H198" i="1"/>
  <c r="H197" i="1"/>
  <c r="H196" i="1"/>
  <c r="I195" i="1"/>
  <c r="H195" i="1"/>
  <c r="I194" i="1"/>
  <c r="H194" i="1"/>
  <c r="I193" i="1"/>
  <c r="H193" i="1"/>
  <c r="I192" i="1"/>
  <c r="H192" i="1"/>
  <c r="I191" i="1"/>
  <c r="G191" i="1"/>
  <c r="F191" i="1"/>
  <c r="C191" i="1"/>
  <c r="I190" i="1"/>
  <c r="H190" i="1"/>
  <c r="D190" i="1"/>
  <c r="C190" i="1"/>
  <c r="G190" i="1" s="1"/>
  <c r="H189" i="1"/>
  <c r="I188" i="1"/>
  <c r="D188" i="1"/>
  <c r="H188" i="1" s="1"/>
  <c r="H187" i="1"/>
  <c r="I186" i="1"/>
  <c r="F186" i="1"/>
  <c r="D186" i="1"/>
  <c r="H186" i="1" s="1"/>
  <c r="C186" i="1"/>
  <c r="I185" i="1"/>
  <c r="G185" i="1"/>
  <c r="F185" i="1"/>
  <c r="C185" i="1"/>
  <c r="G183" i="1"/>
  <c r="D183" i="1"/>
  <c r="D179" i="1" s="1"/>
  <c r="H179" i="1" s="1"/>
  <c r="H182" i="1"/>
  <c r="G182" i="1"/>
  <c r="H181" i="1"/>
  <c r="G181" i="1"/>
  <c r="H180" i="1"/>
  <c r="G180" i="1"/>
  <c r="C179" i="1"/>
  <c r="G179" i="1" s="1"/>
  <c r="H178" i="1"/>
  <c r="G178" i="1"/>
  <c r="D178" i="1"/>
  <c r="G177" i="1"/>
  <c r="D177" i="1"/>
  <c r="C177" i="1"/>
  <c r="H176" i="1"/>
  <c r="G176" i="1"/>
  <c r="G175" i="1"/>
  <c r="D175" i="1"/>
  <c r="H174" i="1"/>
  <c r="G174" i="1"/>
  <c r="G173" i="1"/>
  <c r="D173" i="1"/>
  <c r="H172" i="1"/>
  <c r="G172" i="1"/>
  <c r="H171" i="1"/>
  <c r="G171" i="1"/>
  <c r="I170" i="1"/>
  <c r="H170" i="1"/>
  <c r="G170" i="1"/>
  <c r="D170" i="1"/>
  <c r="C170" i="1"/>
  <c r="I169" i="1"/>
  <c r="H169" i="1"/>
  <c r="F169" i="1"/>
  <c r="D169" i="1"/>
  <c r="D168" i="1" s="1"/>
  <c r="C169" i="1"/>
  <c r="G169" i="1" s="1"/>
  <c r="I168" i="1"/>
  <c r="F168" i="1"/>
  <c r="I166" i="1"/>
  <c r="G165" i="1"/>
  <c r="D165" i="1"/>
  <c r="G164" i="1"/>
  <c r="D164" i="1"/>
  <c r="I163" i="1"/>
  <c r="D163" i="1"/>
  <c r="I162" i="1"/>
  <c r="D162" i="1"/>
  <c r="G161" i="1"/>
  <c r="H160" i="1"/>
  <c r="G160" i="1"/>
  <c r="I159" i="1"/>
  <c r="G158" i="1"/>
  <c r="D158" i="1"/>
  <c r="I157" i="1"/>
  <c r="H157" i="1"/>
  <c r="G157" i="1"/>
  <c r="I156" i="1"/>
  <c r="H156" i="1"/>
  <c r="G156" i="1"/>
  <c r="I155" i="1"/>
  <c r="H155" i="1"/>
  <c r="G155" i="1"/>
  <c r="I154" i="1"/>
  <c r="G154" i="1"/>
  <c r="D154" i="1"/>
  <c r="I153" i="1"/>
  <c r="H152" i="1"/>
  <c r="H151" i="1"/>
  <c r="G151" i="1"/>
  <c r="H150" i="1"/>
  <c r="G150" i="1"/>
  <c r="I149" i="1"/>
  <c r="F149" i="1"/>
  <c r="D149" i="1"/>
  <c r="H149" i="1" s="1"/>
  <c r="C149" i="1"/>
  <c r="G149" i="1" s="1"/>
  <c r="I148" i="1"/>
  <c r="D147" i="1"/>
  <c r="H147" i="1" s="1"/>
  <c r="I146" i="1"/>
  <c r="H146" i="1"/>
  <c r="G146" i="1"/>
  <c r="I145" i="1"/>
  <c r="H145" i="1"/>
  <c r="G145" i="1"/>
  <c r="I144" i="1"/>
  <c r="F144" i="1"/>
  <c r="I143" i="1"/>
  <c r="H143" i="1"/>
  <c r="G143" i="1"/>
  <c r="I142" i="1"/>
  <c r="I141" i="1"/>
  <c r="I140" i="1"/>
  <c r="H140" i="1"/>
  <c r="G140" i="1"/>
  <c r="I139" i="1"/>
  <c r="I138" i="1"/>
  <c r="I137" i="1"/>
  <c r="I136" i="1"/>
  <c r="I135" i="1"/>
  <c r="H135" i="1"/>
  <c r="G135" i="1"/>
  <c r="I133" i="1"/>
  <c r="H133" i="1"/>
  <c r="G133" i="1"/>
  <c r="I131" i="1"/>
  <c r="H131" i="1"/>
  <c r="G131" i="1"/>
  <c r="I130" i="1"/>
  <c r="I129" i="1"/>
  <c r="F129" i="1"/>
  <c r="C129" i="1"/>
  <c r="G129" i="1" s="1"/>
  <c r="I128" i="1"/>
  <c r="D128" i="1"/>
  <c r="H128" i="1" s="1"/>
  <c r="I127" i="1"/>
  <c r="G127" i="1"/>
  <c r="D127" i="1"/>
  <c r="H127" i="1" s="1"/>
  <c r="I126" i="1"/>
  <c r="I125" i="1"/>
  <c r="I124" i="1"/>
  <c r="I123" i="1"/>
  <c r="H123" i="1"/>
  <c r="I122" i="1"/>
  <c r="D122" i="1"/>
  <c r="H122" i="1" s="1"/>
  <c r="I121" i="1"/>
  <c r="G121" i="1"/>
  <c r="D121" i="1"/>
  <c r="H121" i="1" s="1"/>
  <c r="I120" i="1"/>
  <c r="H120" i="1"/>
  <c r="H119" i="1"/>
  <c r="I118" i="1"/>
  <c r="H118" i="1"/>
  <c r="I117" i="1"/>
  <c r="H117" i="1"/>
  <c r="H116" i="1"/>
  <c r="I115" i="1"/>
  <c r="H115" i="1"/>
  <c r="H114" i="1"/>
  <c r="I113" i="1"/>
  <c r="H113" i="1"/>
  <c r="D113" i="1"/>
  <c r="I112" i="1"/>
  <c r="H112" i="1"/>
  <c r="I111" i="1"/>
  <c r="F111" i="1"/>
  <c r="D111" i="1"/>
  <c r="H111" i="1" s="1"/>
  <c r="I110" i="1"/>
  <c r="F110" i="1"/>
  <c r="D110" i="1"/>
  <c r="H110" i="1" s="1"/>
  <c r="C110" i="1"/>
  <c r="G110" i="1" s="1"/>
  <c r="I109" i="1"/>
  <c r="H109" i="1"/>
  <c r="I108" i="1"/>
  <c r="I107" i="1"/>
  <c r="H107" i="1"/>
  <c r="G107" i="1"/>
  <c r="I106" i="1"/>
  <c r="H106" i="1"/>
  <c r="G106" i="1"/>
  <c r="F106" i="1"/>
  <c r="I104" i="1"/>
  <c r="H104" i="1"/>
  <c r="G104" i="1"/>
  <c r="I103" i="1"/>
  <c r="I102" i="1"/>
  <c r="I101" i="1"/>
  <c r="I99" i="1"/>
  <c r="H99" i="1"/>
  <c r="G99" i="1"/>
  <c r="I98" i="1"/>
  <c r="H98" i="1"/>
  <c r="G98" i="1"/>
  <c r="F98" i="1"/>
  <c r="I97" i="1"/>
  <c r="I96" i="1"/>
  <c r="I95" i="1"/>
  <c r="H95" i="1"/>
  <c r="G95" i="1"/>
  <c r="I94" i="1"/>
  <c r="H94" i="1"/>
  <c r="G94" i="1"/>
  <c r="I93" i="1"/>
  <c r="G93" i="1"/>
  <c r="F93" i="1"/>
  <c r="D93" i="1"/>
  <c r="H93" i="1" s="1"/>
  <c r="C93" i="1"/>
  <c r="I92" i="1"/>
  <c r="H92" i="1"/>
  <c r="G92" i="1"/>
  <c r="I91" i="1"/>
  <c r="H91" i="1"/>
  <c r="G91" i="1"/>
  <c r="I90" i="1"/>
  <c r="H90" i="1"/>
  <c r="G90" i="1"/>
  <c r="I89" i="1"/>
  <c r="H89" i="1"/>
  <c r="G89" i="1"/>
  <c r="I88" i="1"/>
  <c r="H88" i="1"/>
  <c r="G88" i="1"/>
  <c r="I87" i="1"/>
  <c r="H87" i="1"/>
  <c r="G87" i="1"/>
  <c r="I86" i="1"/>
  <c r="H86" i="1"/>
  <c r="G86" i="1"/>
  <c r="F86" i="1"/>
  <c r="I85" i="1"/>
  <c r="G85" i="1"/>
  <c r="D85" i="1"/>
  <c r="H85" i="1" s="1"/>
  <c r="I84" i="1"/>
  <c r="H84" i="1"/>
  <c r="G84" i="1"/>
  <c r="I83" i="1"/>
  <c r="H83" i="1"/>
  <c r="G83" i="1"/>
  <c r="I82" i="1"/>
  <c r="I81" i="1"/>
  <c r="H81" i="1"/>
  <c r="G81" i="1"/>
  <c r="I80" i="1"/>
  <c r="F80" i="1"/>
  <c r="C80" i="1"/>
  <c r="G80" i="1" s="1"/>
  <c r="I79" i="1"/>
  <c r="H79" i="1"/>
  <c r="G79" i="1"/>
  <c r="I78" i="1"/>
  <c r="H78" i="1"/>
  <c r="I77" i="1"/>
  <c r="H77" i="1"/>
  <c r="G77" i="1"/>
  <c r="D77" i="1"/>
  <c r="C77" i="1"/>
  <c r="I76" i="1"/>
  <c r="H76" i="1"/>
  <c r="D76" i="1"/>
  <c r="C76" i="1"/>
  <c r="G76" i="1" s="1"/>
  <c r="I75" i="1"/>
  <c r="H75" i="1"/>
  <c r="G75" i="1"/>
  <c r="I74" i="1"/>
  <c r="H74" i="1"/>
  <c r="G74" i="1"/>
  <c r="I73" i="1"/>
  <c r="H73" i="1"/>
  <c r="G73" i="1"/>
  <c r="D73" i="1"/>
  <c r="I72" i="1"/>
  <c r="H72" i="1"/>
  <c r="G72" i="1"/>
  <c r="D72" i="1"/>
  <c r="I71" i="1"/>
  <c r="H71" i="1"/>
  <c r="G71" i="1"/>
  <c r="I70" i="1"/>
  <c r="H70" i="1"/>
  <c r="G70" i="1"/>
  <c r="I69" i="1"/>
  <c r="G69" i="1"/>
  <c r="D69" i="1"/>
  <c r="H69" i="1" s="1"/>
  <c r="I68" i="1"/>
  <c r="H68" i="1"/>
  <c r="G68" i="1"/>
  <c r="M67" i="1"/>
  <c r="I67" i="1"/>
  <c r="I66" i="1"/>
  <c r="G66" i="1"/>
  <c r="F66" i="1"/>
  <c r="C66" i="1"/>
  <c r="I65" i="1"/>
  <c r="F65" i="1"/>
  <c r="C65" i="1"/>
  <c r="G65" i="1" s="1"/>
  <c r="G4" i="1" s="1"/>
  <c r="I63" i="1"/>
  <c r="H63" i="1"/>
  <c r="G63" i="1"/>
  <c r="I62" i="1"/>
  <c r="G62" i="1"/>
  <c r="D62" i="1"/>
  <c r="H62" i="1" s="1"/>
  <c r="I61" i="1"/>
  <c r="H61" i="1"/>
  <c r="D61" i="1"/>
  <c r="I60" i="1"/>
  <c r="H60" i="1"/>
  <c r="I59" i="1"/>
  <c r="H59" i="1"/>
  <c r="G59" i="1"/>
  <c r="I58" i="1"/>
  <c r="H58" i="1"/>
  <c r="G58" i="1"/>
  <c r="I57" i="1"/>
  <c r="H57" i="1"/>
  <c r="G57" i="1"/>
  <c r="I56" i="1"/>
  <c r="H56" i="1"/>
  <c r="G56" i="1"/>
  <c r="D56" i="1"/>
  <c r="C56" i="1"/>
  <c r="I55" i="1"/>
  <c r="H55" i="1"/>
  <c r="G55" i="1"/>
  <c r="I54" i="1"/>
  <c r="H54" i="1"/>
  <c r="G54" i="1"/>
  <c r="I53" i="1"/>
  <c r="H53" i="1"/>
  <c r="G53" i="1"/>
  <c r="I52" i="1"/>
  <c r="F52" i="1"/>
  <c r="D52" i="1"/>
  <c r="H52" i="1" s="1"/>
  <c r="C52" i="1"/>
  <c r="G52" i="1" s="1"/>
  <c r="I51" i="1"/>
  <c r="H51" i="1"/>
  <c r="G51" i="1"/>
  <c r="I50" i="1"/>
  <c r="H50" i="1"/>
  <c r="G50" i="1"/>
  <c r="I49" i="1"/>
  <c r="H49" i="1"/>
  <c r="G49" i="1"/>
  <c r="I48" i="1"/>
  <c r="H48" i="1"/>
  <c r="G48" i="1"/>
  <c r="I47" i="1"/>
  <c r="H47" i="1"/>
  <c r="G47" i="1"/>
  <c r="D47" i="1"/>
  <c r="I46" i="1"/>
  <c r="H46" i="1"/>
  <c r="G46" i="1"/>
  <c r="D46" i="1"/>
  <c r="I45" i="1"/>
  <c r="H45" i="1"/>
  <c r="G45" i="1"/>
  <c r="D45" i="1"/>
  <c r="D44" i="1" s="1"/>
  <c r="I44" i="1"/>
  <c r="G44" i="1"/>
  <c r="F44" i="1"/>
  <c r="C44" i="1"/>
  <c r="I43" i="1"/>
  <c r="H43" i="1"/>
  <c r="G43" i="1"/>
  <c r="I42" i="1"/>
  <c r="H42" i="1"/>
  <c r="I41" i="1"/>
  <c r="H41" i="1"/>
  <c r="G41" i="1"/>
  <c r="I40" i="1"/>
  <c r="H40" i="1"/>
  <c r="G40" i="1"/>
  <c r="I39" i="1"/>
  <c r="H39" i="1"/>
  <c r="G39" i="1"/>
  <c r="D39" i="1"/>
  <c r="I38" i="1"/>
  <c r="H38" i="1"/>
  <c r="G38" i="1"/>
  <c r="D38" i="1"/>
  <c r="I37" i="1"/>
  <c r="H37" i="1"/>
  <c r="G37" i="1"/>
  <c r="I36" i="1"/>
  <c r="H36" i="1"/>
  <c r="G36" i="1"/>
  <c r="I35" i="1"/>
  <c r="H35" i="1"/>
  <c r="G35" i="1"/>
  <c r="I34" i="1"/>
  <c r="H34" i="1"/>
  <c r="G34" i="1"/>
  <c r="I33" i="1"/>
  <c r="H33" i="1"/>
  <c r="G33" i="1"/>
  <c r="F33" i="1"/>
  <c r="I32" i="1"/>
  <c r="F32" i="1"/>
  <c r="C32" i="1"/>
  <c r="I30" i="1"/>
  <c r="E30" i="1"/>
  <c r="I29" i="1"/>
  <c r="E29" i="1"/>
  <c r="I28" i="1"/>
  <c r="F28" i="1"/>
  <c r="E28" i="1"/>
  <c r="I27" i="1"/>
  <c r="F27" i="1"/>
  <c r="E27" i="1"/>
  <c r="I26" i="1"/>
  <c r="F26" i="1"/>
  <c r="E26" i="1"/>
  <c r="I25" i="1"/>
  <c r="F25" i="1"/>
  <c r="E25" i="1"/>
  <c r="I24" i="1"/>
  <c r="F24" i="1"/>
  <c r="E24" i="1"/>
  <c r="I23" i="1"/>
  <c r="F23" i="1"/>
  <c r="E23" i="1"/>
  <c r="I22" i="1"/>
  <c r="F22" i="1"/>
  <c r="E22" i="1"/>
  <c r="I21" i="1"/>
  <c r="F21" i="1"/>
  <c r="E21" i="1"/>
  <c r="I20" i="1"/>
  <c r="F20" i="1"/>
  <c r="E20" i="1"/>
  <c r="I19" i="1"/>
  <c r="G19" i="1"/>
  <c r="F19" i="1"/>
  <c r="E19" i="1"/>
  <c r="C19" i="1"/>
  <c r="I18" i="1"/>
  <c r="H18" i="1"/>
  <c r="G18" i="1"/>
  <c r="F18" i="1"/>
  <c r="E18" i="1"/>
  <c r="D18" i="1"/>
  <c r="C18" i="1"/>
  <c r="I17" i="1"/>
  <c r="F17" i="1"/>
  <c r="E17" i="1"/>
  <c r="I16" i="1"/>
  <c r="H16" i="1"/>
  <c r="F16" i="1"/>
  <c r="E16" i="1"/>
  <c r="D16" i="1"/>
  <c r="H15" i="1"/>
  <c r="G15" i="1"/>
  <c r="F15" i="1"/>
  <c r="E15" i="1"/>
  <c r="D15" i="1"/>
  <c r="C15" i="1"/>
  <c r="I14" i="1"/>
  <c r="F14" i="1"/>
  <c r="E14" i="1"/>
  <c r="I13" i="1"/>
  <c r="E13" i="1"/>
  <c r="I12" i="1"/>
  <c r="H12" i="1"/>
  <c r="C12" i="1"/>
  <c r="G12" i="1" s="1"/>
  <c r="I11" i="1"/>
  <c r="H11" i="1"/>
  <c r="I9" i="1"/>
  <c r="F9" i="1"/>
  <c r="E9" i="1"/>
  <c r="E909" i="1" s="1"/>
  <c r="I8" i="1"/>
  <c r="F8" i="1"/>
  <c r="E8" i="1"/>
  <c r="E7" i="1"/>
  <c r="I6" i="1"/>
  <c r="G6" i="1"/>
  <c r="F6" i="1"/>
  <c r="E6" i="1"/>
  <c r="C6" i="1"/>
  <c r="I5" i="1"/>
  <c r="F5" i="1"/>
  <c r="E5" i="1"/>
  <c r="I4" i="1"/>
  <c r="F4" i="1"/>
  <c r="E4" i="1"/>
  <c r="I3" i="1"/>
  <c r="F3" i="1"/>
  <c r="E3" i="1"/>
  <c r="H44" i="1" l="1"/>
  <c r="D32" i="1"/>
  <c r="H168" i="1"/>
  <c r="H5" i="1" s="1"/>
  <c r="D5" i="1"/>
  <c r="G308" i="1"/>
  <c r="C307" i="1"/>
  <c r="G377" i="1"/>
  <c r="C375" i="1"/>
  <c r="G475" i="1"/>
  <c r="C474" i="1"/>
  <c r="G474" i="1" s="1"/>
  <c r="H528" i="1"/>
  <c r="D527" i="1"/>
  <c r="H582" i="1"/>
  <c r="D579" i="1"/>
  <c r="G684" i="1"/>
  <c r="C683" i="1"/>
  <c r="H686" i="1"/>
  <c r="D683" i="1"/>
  <c r="D80" i="1"/>
  <c r="H80" i="1" s="1"/>
  <c r="D129" i="1"/>
  <c r="H129" i="1" s="1"/>
  <c r="C255" i="1"/>
  <c r="H308" i="1"/>
  <c r="D307" i="1"/>
  <c r="D389" i="1"/>
  <c r="H389" i="1" s="1"/>
  <c r="D426" i="1"/>
  <c r="H426" i="1" s="1"/>
  <c r="H429" i="1"/>
  <c r="D475" i="1"/>
  <c r="H516" i="1"/>
  <c r="D514" i="1"/>
  <c r="C547" i="1"/>
  <c r="G547" i="1" s="1"/>
  <c r="G549" i="1"/>
  <c r="D607" i="1"/>
  <c r="H607" i="1" s="1"/>
  <c r="H768" i="1"/>
  <c r="D538" i="1"/>
  <c r="H538" i="1" s="1"/>
  <c r="H539" i="1"/>
  <c r="D600" i="1"/>
  <c r="H601" i="1"/>
  <c r="G633" i="1"/>
  <c r="C632" i="1"/>
  <c r="D646" i="1"/>
  <c r="H649" i="1"/>
  <c r="C4" i="1"/>
  <c r="C17" i="1"/>
  <c r="D22" i="1"/>
  <c r="C168" i="1"/>
  <c r="C253" i="1" s="1"/>
  <c r="D185" i="1"/>
  <c r="H212" i="1"/>
  <c r="D255" i="1"/>
  <c r="H272" i="1"/>
  <c r="D270" i="1"/>
  <c r="C283" i="1"/>
  <c r="H291" i="1"/>
  <c r="D290" i="1"/>
  <c r="H290" i="1" s="1"/>
  <c r="G317" i="1"/>
  <c r="C316" i="1"/>
  <c r="G316" i="1" s="1"/>
  <c r="D328" i="1"/>
  <c r="H328" i="1" s="1"/>
  <c r="H337" i="1"/>
  <c r="D336" i="1"/>
  <c r="H336" i="1" s="1"/>
  <c r="G366" i="1"/>
  <c r="D375" i="1"/>
  <c r="D438" i="1"/>
  <c r="H438" i="1" s="1"/>
  <c r="D456" i="1"/>
  <c r="H456" i="1" s="1"/>
  <c r="H469" i="1"/>
  <c r="H495" i="1"/>
  <c r="D499" i="1"/>
  <c r="H499" i="1" s="1"/>
  <c r="G534" i="1"/>
  <c r="C535" i="1"/>
  <c r="G535" i="1" s="1"/>
  <c r="C538" i="1"/>
  <c r="G538" i="1" s="1"/>
  <c r="G541" i="1"/>
  <c r="C536" i="1"/>
  <c r="G536" i="1" s="1"/>
  <c r="H622" i="1"/>
  <c r="D621" i="1"/>
  <c r="H719" i="1"/>
  <c r="D718" i="1"/>
  <c r="H718" i="1" s="1"/>
  <c r="C3" i="1"/>
  <c r="C16" i="1"/>
  <c r="G32" i="1"/>
  <c r="G3" i="1" s="1"/>
  <c r="D66" i="1"/>
  <c r="H284" i="1"/>
  <c r="D283" i="1"/>
  <c r="D301" i="1"/>
  <c r="H301" i="1" s="1"/>
  <c r="D320" i="1"/>
  <c r="H320" i="1" s="1"/>
  <c r="H355" i="1"/>
  <c r="D354" i="1"/>
  <c r="H354" i="1" s="1"/>
  <c r="H368" i="1"/>
  <c r="D366" i="1"/>
  <c r="D447" i="1"/>
  <c r="H447" i="1" s="1"/>
  <c r="H486" i="1"/>
  <c r="D484" i="1"/>
  <c r="H484" i="1" s="1"/>
  <c r="D534" i="1"/>
  <c r="D535" i="1"/>
  <c r="H535" i="1" s="1"/>
  <c r="H540" i="1"/>
  <c r="H541" i="1"/>
  <c r="D536" i="1"/>
  <c r="H536" i="1" s="1"/>
  <c r="D568" i="1"/>
  <c r="H568" i="1" s="1"/>
  <c r="H569" i="1"/>
  <c r="H585" i="1"/>
  <c r="C600" i="1"/>
  <c r="G603" i="1"/>
  <c r="G714" i="1"/>
  <c r="C711" i="1"/>
  <c r="H867" i="1"/>
  <c r="D865" i="1"/>
  <c r="G738" i="1"/>
  <c r="C733" i="1"/>
  <c r="D432" i="1"/>
  <c r="C608" i="1"/>
  <c r="G618" i="1"/>
  <c r="G650" i="1"/>
  <c r="C646" i="1"/>
  <c r="D674" i="1"/>
  <c r="H674" i="1" s="1"/>
  <c r="H677" i="1"/>
  <c r="C698" i="1"/>
  <c r="G699" i="1"/>
  <c r="H705" i="1"/>
  <c r="D703" i="1"/>
  <c r="G903" i="1"/>
  <c r="C901" i="1"/>
  <c r="D554" i="1"/>
  <c r="C579" i="1"/>
  <c r="C585" i="1"/>
  <c r="C620" i="1"/>
  <c r="H699" i="1"/>
  <c r="D698" i="1"/>
  <c r="D803" i="1"/>
  <c r="D855" i="1"/>
  <c r="H873" i="1"/>
  <c r="D868" i="1"/>
  <c r="H868" i="1" s="1"/>
  <c r="G876" i="1"/>
  <c r="C875" i="1"/>
  <c r="I891" i="1"/>
  <c r="H891" i="1"/>
  <c r="F886" i="1"/>
  <c r="F29" i="1" s="1"/>
  <c r="G891" i="1"/>
  <c r="F906" i="1"/>
  <c r="H712" i="1"/>
  <c r="D711" i="1"/>
  <c r="H711" i="1" s="1"/>
  <c r="G775" i="1"/>
  <c r="C773" i="1"/>
  <c r="G773" i="1" s="1"/>
  <c r="D785" i="1"/>
  <c r="H785" i="1" s="1"/>
  <c r="H787" i="1"/>
  <c r="C802" i="1"/>
  <c r="G802" i="1" s="1"/>
  <c r="H822" i="1"/>
  <c r="D820" i="1"/>
  <c r="H820" i="1" s="1"/>
  <c r="H882" i="1"/>
  <c r="D880" i="1"/>
  <c r="H892" i="1"/>
  <c r="G720" i="1"/>
  <c r="C718" i="1"/>
  <c r="G718" i="1" s="1"/>
  <c r="D744" i="1"/>
  <c r="H744" i="1" s="1"/>
  <c r="D761" i="1"/>
  <c r="H762" i="1"/>
  <c r="G768" i="1"/>
  <c r="C767" i="1"/>
  <c r="D773" i="1"/>
  <c r="H773" i="1" s="1"/>
  <c r="H774" i="1"/>
  <c r="H781" i="1"/>
  <c r="D779" i="1"/>
  <c r="H779" i="1" s="1"/>
  <c r="D833" i="1"/>
  <c r="H835" i="1"/>
  <c r="D894" i="1"/>
  <c r="H894" i="1" s="1"/>
  <c r="H895" i="1"/>
  <c r="C864" i="1"/>
  <c r="G864" i="1" s="1"/>
  <c r="D839" i="1"/>
  <c r="C7" i="1" l="1"/>
  <c r="G253" i="1"/>
  <c r="G7" i="1" s="1"/>
  <c r="C266" i="1"/>
  <c r="C760" i="1"/>
  <c r="G760" i="1" s="1"/>
  <c r="G767" i="1"/>
  <c r="C578" i="1"/>
  <c r="G578" i="1" s="1"/>
  <c r="G579" i="1"/>
  <c r="C703" i="1"/>
  <c r="G711" i="1"/>
  <c r="H683" i="1"/>
  <c r="D682" i="1"/>
  <c r="H682" i="1" s="1"/>
  <c r="H579" i="1"/>
  <c r="D578" i="1"/>
  <c r="H578" i="1" s="1"/>
  <c r="D875" i="1"/>
  <c r="H880" i="1"/>
  <c r="G875" i="1"/>
  <c r="G28" i="1" s="1"/>
  <c r="C28" i="1"/>
  <c r="H855" i="1"/>
  <c r="D850" i="1"/>
  <c r="H850" i="1" s="1"/>
  <c r="D552" i="1"/>
  <c r="H552" i="1" s="1"/>
  <c r="H554" i="1"/>
  <c r="C607" i="1"/>
  <c r="G607" i="1" s="1"/>
  <c r="G608" i="1"/>
  <c r="D733" i="1"/>
  <c r="D316" i="1"/>
  <c r="H316" i="1" s="1"/>
  <c r="H66" i="1"/>
  <c r="D65" i="1"/>
  <c r="C533" i="1"/>
  <c r="C282" i="1"/>
  <c r="G283" i="1"/>
  <c r="D8" i="1"/>
  <c r="H255" i="1"/>
  <c r="H8" i="1" s="1"/>
  <c r="H646" i="1"/>
  <c r="H23" i="1" s="1"/>
  <c r="D23" i="1"/>
  <c r="H600" i="1"/>
  <c r="D598" i="1"/>
  <c r="D767" i="1"/>
  <c r="H767" i="1" s="1"/>
  <c r="D511" i="1"/>
  <c r="H514" i="1"/>
  <c r="C8" i="1"/>
  <c r="G255" i="1"/>
  <c r="G8" i="1" s="1"/>
  <c r="G307" i="1"/>
  <c r="C306" i="1"/>
  <c r="G306" i="1" s="1"/>
  <c r="D837" i="1"/>
  <c r="H837" i="1" s="1"/>
  <c r="H839" i="1"/>
  <c r="H803" i="1"/>
  <c r="G620" i="1"/>
  <c r="G21" i="1" s="1"/>
  <c r="C21" i="1"/>
  <c r="G901" i="1"/>
  <c r="C886" i="1"/>
  <c r="G646" i="1"/>
  <c r="G23" i="1" s="1"/>
  <c r="C23" i="1"/>
  <c r="D431" i="1"/>
  <c r="H431" i="1" s="1"/>
  <c r="H432" i="1"/>
  <c r="H865" i="1"/>
  <c r="D864" i="1"/>
  <c r="H864" i="1" s="1"/>
  <c r="H270" i="1"/>
  <c r="D269" i="1"/>
  <c r="G632" i="1"/>
  <c r="C624" i="1"/>
  <c r="G683" i="1"/>
  <c r="C682" i="1"/>
  <c r="H527" i="1"/>
  <c r="H19" i="1" s="1"/>
  <c r="D19" i="1"/>
  <c r="G375" i="1"/>
  <c r="C374" i="1"/>
  <c r="D657" i="1"/>
  <c r="F909" i="1"/>
  <c r="F30" i="1"/>
  <c r="H703" i="1"/>
  <c r="H26" i="1" s="1"/>
  <c r="D26" i="1"/>
  <c r="D533" i="1"/>
  <c r="H534" i="1"/>
  <c r="H366" i="1"/>
  <c r="D365" i="1"/>
  <c r="H375" i="1"/>
  <c r="D374" i="1"/>
  <c r="H374" i="1" s="1"/>
  <c r="G168" i="1"/>
  <c r="G5" i="1" s="1"/>
  <c r="C5" i="1"/>
  <c r="H833" i="1"/>
  <c r="D831" i="1"/>
  <c r="H831" i="1" s="1"/>
  <c r="H761" i="1"/>
  <c r="D886" i="1"/>
  <c r="D697" i="1"/>
  <c r="H698" i="1"/>
  <c r="G585" i="1"/>
  <c r="C697" i="1"/>
  <c r="G698" i="1"/>
  <c r="G733" i="1"/>
  <c r="C732" i="1"/>
  <c r="C598" i="1"/>
  <c r="G598" i="1" s="1"/>
  <c r="G600" i="1"/>
  <c r="H283" i="1"/>
  <c r="D282" i="1"/>
  <c r="H282" i="1" s="1"/>
  <c r="H621" i="1"/>
  <c r="D620" i="1"/>
  <c r="H185" i="1"/>
  <c r="H6" i="1" s="1"/>
  <c r="D6" i="1"/>
  <c r="D474" i="1"/>
  <c r="H474" i="1" s="1"/>
  <c r="H475" i="1"/>
  <c r="H307" i="1"/>
  <c r="D306" i="1"/>
  <c r="H306" i="1" s="1"/>
  <c r="D253" i="1"/>
  <c r="H32" i="1"/>
  <c r="H3" i="1" s="1"/>
  <c r="D3" i="1"/>
  <c r="G697" i="1" l="1"/>
  <c r="G25" i="1" s="1"/>
  <c r="C25" i="1"/>
  <c r="D802" i="1"/>
  <c r="H802" i="1" s="1"/>
  <c r="H511" i="1"/>
  <c r="H17" i="1" s="1"/>
  <c r="D17" i="1"/>
  <c r="G732" i="1"/>
  <c r="C730" i="1"/>
  <c r="H886" i="1"/>
  <c r="H29" i="1" s="1"/>
  <c r="D29" i="1"/>
  <c r="D532" i="1"/>
  <c r="H533" i="1"/>
  <c r="G624" i="1"/>
  <c r="G22" i="1" s="1"/>
  <c r="C22" i="1"/>
  <c r="G282" i="1"/>
  <c r="C268" i="1"/>
  <c r="C584" i="1"/>
  <c r="G584" i="1" s="1"/>
  <c r="D760" i="1"/>
  <c r="H760" i="1" s="1"/>
  <c r="H365" i="1"/>
  <c r="D364" i="1"/>
  <c r="H657" i="1"/>
  <c r="D656" i="1"/>
  <c r="H598" i="1"/>
  <c r="D584" i="1"/>
  <c r="H584" i="1" s="1"/>
  <c r="C532" i="1"/>
  <c r="G533" i="1"/>
  <c r="D732" i="1"/>
  <c r="H733" i="1"/>
  <c r="G703" i="1"/>
  <c r="G26" i="1" s="1"/>
  <c r="C26" i="1"/>
  <c r="H620" i="1"/>
  <c r="H21" i="1" s="1"/>
  <c r="D21" i="1"/>
  <c r="G374" i="1"/>
  <c r="C364" i="1"/>
  <c r="G682" i="1"/>
  <c r="C656" i="1"/>
  <c r="H269" i="1"/>
  <c r="D268" i="1"/>
  <c r="G886" i="1"/>
  <c r="G29" i="1" s="1"/>
  <c r="C29" i="1"/>
  <c r="D4" i="1"/>
  <c r="H65" i="1"/>
  <c r="H4" i="1" s="1"/>
  <c r="G266" i="1"/>
  <c r="G9" i="1" s="1"/>
  <c r="C9" i="1"/>
  <c r="H253" i="1"/>
  <c r="H7" i="1" s="1"/>
  <c r="D7" i="1"/>
  <c r="D266" i="1"/>
  <c r="H697" i="1"/>
  <c r="H25" i="1" s="1"/>
  <c r="D25" i="1"/>
  <c r="H875" i="1"/>
  <c r="H28" i="1" s="1"/>
  <c r="D28" i="1"/>
  <c r="D9" i="1" l="1"/>
  <c r="H266" i="1"/>
  <c r="H9" i="1" s="1"/>
  <c r="H732" i="1"/>
  <c r="D730" i="1"/>
  <c r="D531" i="1"/>
  <c r="H532" i="1"/>
  <c r="H268" i="1"/>
  <c r="H13" i="1" s="1"/>
  <c r="D13" i="1"/>
  <c r="G364" i="1"/>
  <c r="G14" i="1" s="1"/>
  <c r="C14" i="1"/>
  <c r="D24" i="1"/>
  <c r="H656" i="1"/>
  <c r="H24" i="1" s="1"/>
  <c r="G532" i="1"/>
  <c r="C531" i="1"/>
  <c r="C24" i="1"/>
  <c r="G656" i="1"/>
  <c r="G24" i="1" s="1"/>
  <c r="H364" i="1"/>
  <c r="H14" i="1" s="1"/>
  <c r="D14" i="1"/>
  <c r="C906" i="1"/>
  <c r="G268" i="1"/>
  <c r="G13" i="1" s="1"/>
  <c r="C13" i="1"/>
  <c r="G730" i="1"/>
  <c r="G27" i="1" s="1"/>
  <c r="C27" i="1"/>
  <c r="G906" i="1" l="1"/>
  <c r="G30" i="1" s="1"/>
  <c r="C30" i="1"/>
  <c r="C11" i="1" s="1"/>
  <c r="G11" i="1" s="1"/>
  <c r="H531" i="1"/>
  <c r="H20" i="1" s="1"/>
  <c r="D20" i="1"/>
  <c r="C909" i="1"/>
  <c r="H730" i="1"/>
  <c r="H27" i="1" s="1"/>
  <c r="D27" i="1"/>
  <c r="G531" i="1"/>
  <c r="G20" i="1" s="1"/>
  <c r="C20" i="1"/>
  <c r="D906" i="1"/>
  <c r="H906" i="1" l="1"/>
  <c r="H30" i="1" s="1"/>
  <c r="D30" i="1"/>
  <c r="D909" i="1"/>
</calcChain>
</file>

<file path=xl/comments1.xml><?xml version="1.0" encoding="utf-8"?>
<comments xmlns="http://schemas.openxmlformats.org/spreadsheetml/2006/main">
  <authors>
    <author>tc={00F80050-00E8-45DE-9473-006D000D0024}</author>
    <author>tc={0068004A-0024-449F-84D3-002F0004000A}</author>
    <author>tc={008D00A5-0049-458F-BDF6-00BC00FF00C8}</author>
    <author>tc={00C9007F-0047-48C6-9D4C-00D500FC006D}</author>
    <author>tc={009C004C-00FB-48B4-9B9A-006D00560042}</author>
    <author>tc={00440000-0004-430F-9740-00ED006800E8}</author>
    <author>tc={008F00C2-00F1-4F9C-B102-003700020035}</author>
    <author>tc={003000C0-004E-4110-B3AC-00750022009B}</author>
    <author>tc={003B0071-00C9-4ED7-AD5F-007D00DC0021}</author>
    <author>tc={001A00A4-00BB-4CE7-B514-003000C80043}</author>
    <author>tc={0033003C-00E2-4F88-9D09-00DC006E00BA}</author>
    <author>tc={00940094-00CD-46CC-9F68-00CA00E30024}</author>
    <author>tc={00840053-0050-4CDE-AD5B-00EB001700F3}</author>
    <author>tc={006D00E7-00F5-4E2D-AC71-003500DF00A6}</author>
    <author>tc={00BA00FC-0084-46F0-9278-0045008900AA}</author>
    <author>tc={000700C9-006B-431F-AEBA-008E00F70032}</author>
    <author>tc={0064003C-008D-4F74-A2BB-003D00A300C8}</author>
    <author>tc={00BC0050-00D1-4FB8-B2EE-00A000DF0074}</author>
    <author>tc={007500BB-00B8-4A7C-8973-007300A400B5}</author>
    <author>tc={0085008F-0091-462A-8C00-0066001F0004}</author>
    <author>tc={0097004D-0032-4BED-B251-006A00490049}</author>
    <author>tc={0094002B-000B-47F7-A158-00EE002B002E}</author>
    <author>tc={0004007E-00D0-4D8E-87E6-0073009400FF}</author>
    <author>tc={00C7004C-00A4-44FA-8A01-005400120075}</author>
    <author>tc={00A30049-0050-465F-9016-001400D10070}</author>
    <author>tc={003600F5-009B-4709-BA5C-001C00C20066}</author>
    <author>tc={00F20003-00E8-437E-A4E2-001A00B900E8}</author>
    <author>tc={00340062-00B1-4464-919E-003500260016}</author>
    <author>tc={0078005D-00FA-4107-93CD-000F006B00FF}</author>
    <author>tc={000A00F0-00FC-4849-A106-00DF008D006F}</author>
    <author>tc={00050030-00D8-46D7-8F11-001100AF0065}</author>
    <author>tc={004000EB-009B-4C1D-B2C4-002300AE0083}</author>
    <author>tc={00CF00A8-006D-4E15-8823-00EE00FE003F}</author>
    <author>tc={0096007F-0017-4FD2-993F-003E00F10020}</author>
    <author>tc={009400D9-0026-4C42-A4B2-007E00D500F4}</author>
    <author>tc={00D700ED-0069-416A-81FE-00EA00DA000E}</author>
    <author>tc={001E003E-0041-44F7-BA51-001A00130025}</author>
    <author>tc={00790071-0006-406E-A2E8-002C00670027}</author>
    <author>tc={0037004E-00EC-499F-8F6E-00F90026000B}</author>
    <author>tc={006C00DA-0007-44DE-A8FF-003F004300E6}</author>
    <author>tc={009E00D6-0004-4F1A-A970-00F900CF0051}</author>
    <author>tc={00B0008E-005E-4359-8290-006100C1003E}</author>
    <author>tc={009A005F-0069-476A-8EEC-008C008D0046}</author>
    <author>tc={00790048-00F1-445C-92AD-000F00060076}</author>
    <author>tc={00B000A5-00C1-42C7-9F58-00F200060067}</author>
    <author>tc={004C0044-00D8-44B9-A51A-00150024005B}</author>
    <author>tc={000B0061-005F-474B-A7EE-00350053004A}</author>
    <author>tc={0050002A-00F8-43C6-BB35-00730017001F}</author>
    <author>tc={00370088-0026-4961-8748-00A8009100F5}</author>
    <author>tc={00080010-00DA-4085-A676-004300DB0052}</author>
    <author>tc={0065002C-0012-40FE-BDB7-003B00F30066}</author>
    <author>tc={002200F2-0091-49F8-ABB4-00B0005B00CB}</author>
    <author>tc={004D00A6-00B9-4737-A3C3-00340021009B}</author>
    <author>tc={00B80032-002D-4D38-856A-002600D80002}</author>
    <author>tc={00B600D8-009E-41DF-91B2-00D100D00084}</author>
    <author>tc={004B00B9-00FB-484B-A5E4-00BF006900FE}</author>
    <author>tc={0002003F-0066-4A50-8715-00C100060023}</author>
    <author>tc={00E00024-00F9-4370-99A7-006400A300C4}</author>
    <author>tc={003200DB-003C-4AF3-B6C7-0095003A0057}</author>
    <author>tc={00FA008A-009B-42A7-91AF-00A3003A0075}</author>
    <author>tc={00B10015-00C8-4708-BF6A-008A00C70000}</author>
    <author>tc={00D20068-0037-4E1B-9905-00B9006A0080}</author>
    <author>tc={006300F8-006D-43B1-9D48-00CC0077006E}</author>
    <author>tc={00E90085-0016-4C22-9F2C-00AE00EB0097}</author>
    <author>tc={00D80005-0036-4F3D-9821-00C3008D0098}</author>
    <author>tc={00D100A0-003A-4AB8-BB3F-00780061006B}</author>
    <author>tc={004F00FD-0071-4F2A-93AA-00B700A60031}</author>
    <author>tc={001A006C-00FA-474D-9772-006000E90025}</author>
    <author>tc={00060086-0064-4D5A-9A14-00AD00E50003}</author>
    <author>tc={00A200FD-0098-45AD-B70D-0057008C00EA}</author>
    <author>tc={006600B9-0099-4127-B67A-00EB008E0038}</author>
    <author>tc={004600B9-0083-4685-BF41-006000CE003B}</author>
    <author>tc={0048000B-00C2-47E1-9029-0055008B00CD}</author>
    <author>tc={0000007F-0090-48DE-A69E-002100130000}</author>
    <author>tc={00800033-00D4-4459-BE4E-007E0009000E}</author>
    <author>tc={00E70065-0063-432C-B868-003600850027}</author>
    <author>tc={00CA0056-0050-4A5B-A0B7-00BD00130085}</author>
    <author>tc={005E0063-007E-40F9-AAD9-005C002D00A6}</author>
    <author>tc={00C400B8-007C-4247-83D3-00E400FD00D6}</author>
    <author>tc={00DB00CC-0066-4FE5-A3A6-008D00BF00F5}</author>
    <author>tc={006F0060-0003-4A7E-B775-00EF00140060}</author>
    <author>tc={00F4002D-00A7-4849-84F6-002F00D7006F}</author>
    <author>tc={001E00CF-00C1-4C20-B2B2-002F005C0053}</author>
    <author>tc={00CF00FA-0075-4820-B4C7-009E00A9005D}</author>
    <author>tc={009300C8-00A3-4070-BC18-0059004C00C0}</author>
    <author>tc={00B800C5-0062-4FEA-9C6A-00AB004C0068}</author>
    <author>tc={00F90092-0047-44D7-B0C6-00B3008200F1}</author>
    <author>tc={003A00BC-00C2-410C-BA20-009C003800C3}</author>
    <author>tc={00270097-00F1-4E95-A8DA-005E00A9002E}</author>
    <author>tc={00BE00A5-0068-4C9A-8391-003C00EB00D5}</author>
    <author>tc={004B00AD-00ED-4825-A7EE-009000D60023}</author>
    <author>tc={006A0026-00D3-4C8F-85DA-000A00ED002F}</author>
    <author>tc={00980076-00FC-443E-9957-00A600200092}</author>
    <author>tc={00FF0093-00EB-4F69-908B-0083005B00DB}</author>
    <author>tc={003D0056-001E-48A7-9502-008D00A60096}</author>
    <author>tc={007E00E9-001A-4F50-99E8-0005004700F9}</author>
    <author>tc={000900FE-000D-439E-8DB6-0098008F00B7}</author>
    <author>tc={009F0068-000E-4618-9812-0092003900A2}</author>
    <author>tc={00830065-00C7-45DD-BFC9-005D0059003F}</author>
    <author>tc={00F9009F-00BB-4E83-8989-004D00850016}</author>
    <author>tc={00B600E1-009D-4770-A386-000D00DF0098}</author>
    <author>tc={002D00F2-0079-4615-BCD7-004C0003008E}</author>
    <author>tc={007C006E-00FE-440D-8B48-0000000000C6}</author>
    <author>tc={00930023-00D3-4763-A595-00F8002700FE}</author>
    <author>tc={0011006F-00E9-4AF4-A203-0027003C0096}</author>
    <author>tc={00FE00A0-0047-4A48-A67E-00B700B700F0}</author>
    <author>tc={001100C2-00B8-4CC7-85C8-00AB0095009E}</author>
    <author>tc={00E1006F-00CB-419E-A345-00D6001D00AB}</author>
    <author>tc={006E0049-00CC-405F-B2F2-0013006400B2}</author>
    <author>tc={00AE0085-00AF-485C-9D7D-00F4004C0030}</author>
    <author>tc={00C60023-00B7-4FB8-9D80-006B00BD0065}</author>
    <author>tc={00A300C2-0088-4C67-B5C3-000C00A7009C}</author>
    <author>tc={00C00078-0072-43FD-8079-004400270022}</author>
    <author>tc={00D6009D-00B2-4783-816B-00AD00630063}</author>
    <author>tc={002D0042-0045-411A-9A33-00E600100079}</author>
    <author>tc={00C40046-0063-4689-B580-00FF000B00EE}</author>
    <author>tc={004A000D-0032-42D9-89F2-00D30016003B}</author>
    <author>tc={00D0009A-0063-4476-91C6-003000A200C0}</author>
    <author>tc={00E7006A-00B2-41FD-9AE0-005F00AD0008}</author>
    <author>tc={0042009C-0043-4FE4-B166-003200D00097}</author>
    <author>tc={0034007B-00C0-4DF1-9E1B-000A00EA0052}</author>
    <author>tc={00D30014-0069-402C-9B11-004200C300EA}</author>
    <author>tc={000A0005-0020-4A2F-B859-003E002A00E1}</author>
    <author>tc={008100F5-0081-4643-8946-001700910010}</author>
    <author>tc={004500B5-0006-4FE4-AE77-00E5003200DB}</author>
    <author>tc={00B300E7-00D6-493A-ABA5-0060003D0011}</author>
    <author>tc={006800D6-0076-4034-B4EF-0061006C001D}</author>
    <author>tc={000E00AA-004A-46AD-BD0F-0078001000A3}</author>
    <author>tc={00950006-005F-419B-BB06-004E00660052}</author>
    <author>tc={00DD00AB-002C-4B7F-B5F4-00E3008E00D6}</author>
    <author>tc={00B1007C-00DF-4314-98C8-004200620022}</author>
    <author>tc={009400E2-0005-498F-A7B7-004000EB005B}</author>
    <author>tc={00E4009D-0027-4894-957F-00B900AE0038}</author>
    <author>tc={00B50021-00B2-4D24-8FF6-005000D60005}</author>
    <author>tc={003E00C4-00A4-4A48-89B3-004D0034004F}</author>
    <author>tc={006D0011-0014-4B97-B14E-0069006B00B4}</author>
    <author>tc={00D2008B-001E-49F5-B630-001C00AF0091}</author>
    <author>tc={00740060-0033-4B96-9892-005C004500DD}</author>
    <author>tc={0050003C-00EB-471B-8346-000900E2005B}</author>
    <author>tc={00DA0011-0034-46DA-8105-006E00E500B2}</author>
    <author>tc={00B600F9-003C-4AC8-9DFC-000700980035}</author>
    <author>tc={00FC009B-00D9-4574-BAB2-0024008D00D5}</author>
    <author>tc={00F5000D-0040-4AE7-A32B-009E00BE00EE}</author>
    <author>tc={008100A2-0028-449E-BA3C-008900BF0035}</author>
    <author>tc={0062005F-0009-4D66-9600-009A007D005A}</author>
    <author>tc={00C40098-004A-4D1E-A19A-0000005200CA}</author>
    <author>tc={000B007C-0091-4710-8CCA-00F100A100B9}</author>
    <author>tc={0005005E-00C3-45CC-9CD5-009B007B0043}</author>
    <author>tc={00E00069-0083-4245-B2EF-00AB00A700D4}</author>
    <author>tc={00850066-00F1-4321-A535-00F300E500E3}</author>
    <author>tc={0000009F-00DF-496C-B4F2-0046006B008E}</author>
    <author>tc={00EE0071-0087-4195-8048-002E006400FB}</author>
    <author>tc={006700FD-003C-4E1C-857F-004600040094}</author>
    <author>tc={00230058-0031-4252-93AE-00C4008C007D}</author>
    <author>tc={00330034-005B-4609-B8C8-00CA0027004B}</author>
    <author>tc={00410006-0032-40FE-98D6-00AF002700D1}</author>
    <author>tc={008700AD-00CA-41D2-9269-008E006A0043}</author>
    <author>tc={00D000B0-0054-4B14-AE57-008600E100B5}</author>
    <author>tc={0083003C-0067-48E6-9DE1-00E7006C0029}</author>
    <author>tc={00EC00F7-0040-44C9-9D1E-008A000A00FC}</author>
    <author>tc={00680057-0014-450D-B97F-00C60069002F}</author>
    <author>tc={00AF00B5-00BF-464C-8096-009B0012001D}</author>
    <author>tc={00830040-0020-4A8F-BA4F-0039009A00A6}</author>
    <author>tc={009F001C-00FB-452A-8E97-009C00CC0074}</author>
    <author>tc={000500CE-0032-45F5-90A3-00A5004D009D}</author>
    <author>tc={00FC0035-002F-44C7-A74C-00B600FD0043}</author>
    <author>tc={003D005F-005E-4F6B-9F1B-007000550058}</author>
    <author>tc={00A500BB-0010-4EAF-9017-007000F4003E}</author>
    <author>tc={00A2001E-0061-46A3-851A-00DC000F0070}</author>
    <author>tc={00CB008D-00A8-4866-BAFB-00CD002200A7}</author>
    <author>tc={00600090-00E1-4F88-B81B-0031003300AC}</author>
    <author>tc={00ED0066-008D-4717-B226-0091009200BB}</author>
    <author>tc={0038002B-0008-47D3-8CBA-00CE001600D2}</author>
    <author>tc={00F300E5-007B-4B83-B3C3-00FC00680065}</author>
    <author>tc={0019003A-00BD-463F-AC9D-002700BC006D}</author>
    <author>tc={00FA007E-001B-4886-BC13-008D002100A6}</author>
    <author>tc={003B0018-00EF-41A2-9B4F-00DF00C8008A}</author>
    <author>tc={00280017-00A6-41F0-A9DC-00DA008A0057}</author>
    <author>tc={009E0090-0094-4171-8893-0023006B00A8}</author>
    <author>tc={000A00F6-0018-455E-AF8C-006B0094009D}</author>
    <author>tc={001E0027-0069-430C-B4DC-00D2001B006B}</author>
    <author>tc={00A70096-0083-4126-B36A-0075005D00D9}</author>
    <author>tc={00DB006E-00EE-4767-B53D-0092004800D8}</author>
    <author>tc={000300E8-0048-449D-A6A3-005B003300A6}</author>
    <author>tc={0048008E-0064-4B90-B759-00D500250017}</author>
    <author>tc={00220004-00E8-4957-8AE8-009A006B002D}</author>
    <author>tc={006D001C-0088-4305-A413-001100560081}</author>
    <author>tc={00C00079-00CA-4832-BE51-005900AB00F5}</author>
    <author>tc={0087000E-00C8-4535-A069-002500B30002}</author>
    <author>tc={005A0089-0015-476A-AEBF-00C7000F00B7}</author>
    <author>tc={000500A3-0082-4506-9D2A-002A00ED00F0}</author>
    <author>tc={0035004D-005A-449C-B7D9-0080004C0018}</author>
    <author>tc={00270063-00A0-41FF-BD2E-001800BA0022}</author>
    <author>tc={006C0038-0025-426A-AB53-009C00550074}</author>
    <author>tc={004A006E-00E6-411B-84B2-008600E70064}</author>
    <author>tc={00EC0066-0084-4E38-9077-001500D000FF}</author>
    <author>tc={00CD00DA-0050-4F68-AAE0-00E900770027}</author>
    <author>tc={00B90088-0045-4187-B6D4-0054009E00B4}</author>
    <author>tc={005C00F1-00E8-4F77-82F3-0030004C00DF}</author>
    <author>tc={004500B6-0074-4F3E-9A13-007400390063}</author>
    <author>tc={00AF0091-0000-4D10-97A0-003E00880086}</author>
    <author>tc={00830015-0008-4A6D-B284-000300210093}</author>
    <author>tc={003000F0-005E-4442-8EF4-006B00B60008}</author>
    <author>tc={00380001-0050-43FD-8403-00F0004A00E4}</author>
    <author>tc={00DB00F3-008C-4D0C-B7F9-002B00F5003B}</author>
    <author>tc={00B900CE-00D1-4311-A678-008D006200CF}</author>
    <author>tc={004000CE-00C5-40DB-A5AB-00DB00C000FF}</author>
    <author>tc={002F0060-0017-4188-A404-00C300440063}</author>
    <author>tc={004D0044-00AE-4EB2-A6DB-000200B700A7}</author>
    <author>tc={0049000A-0024-4830-8D37-005900F9009B}</author>
    <author>tc={00E600AC-00FA-4EB6-850F-00630063000B}</author>
    <author>tc={001A0083-0004-4D1F-95B3-002600350035}</author>
    <author>tc={00DF007F-007F-4101-BC7A-00BE00490018}</author>
    <author>tc={006D00CB-0037-4102-8E00-004D00A1002F}</author>
    <author>tc={00CC00CD-000F-4188-BB5D-00C5003800CA}</author>
    <author>tc={006D005F-00B3-49AF-BC7A-009100B9006E}</author>
    <author>tc={003200DD-00DD-4AE7-9515-00FD00B40088}</author>
    <author>tc={00CA006D-00C6-4910-8F37-00580022002A}</author>
    <author>tc={00D000C7-0028-4AFB-B5E8-00C5004A002E}</author>
    <author>tc={002F0097-0053-4C72-9479-00E0000700FB}</author>
    <author>tc={004000DE-00EA-410E-A8B9-00B500B600DE}</author>
    <author>tc={002700C6-00F4-4338-8879-004500770019}</author>
    <author>tc={007D004F-00E6-4B48-AA63-006600C9006E}</author>
    <author>tc={0022004C-00FB-4A9C-85A2-009B0099005F}</author>
    <author>tc={004700D2-009B-4418-9451-0043003400CE}</author>
    <author>tc={00CC0043-0058-46CD-B937-00C800380033}</author>
    <author>tc={005800EA-0061-4D43-96F9-000900DC00BD}</author>
    <author>tc={004F0073-006A-454D-8249-002900110031}</author>
    <author>tc={00970034-0058-4868-9C32-00F50026005D}</author>
    <author>tc={003C0024-0039-495B-BBDA-00500065004A}</author>
    <author>tc={0047008F-006B-412F-9583-0008008F0068}</author>
    <author>tc={006F003A-0023-48E6-8EA3-00F7000A0015}</author>
    <author>tc={00F800D2-009D-410E-98EE-00AB003F00BB}</author>
    <author>tc={00BA007B-00D1-4871-8261-00E100750027}</author>
    <author>tc={0046004C-0081-4F2F-859C-006400A700D9}</author>
    <author>tc={005C0005-004C-4325-88CC-005E00FE00C3}</author>
    <author>tc={00CC0057-0067-4D61-91FD-006900520002}</author>
    <author>tc={00D30041-003B-496E-8B2E-00DD00D9002F}</author>
    <author>tc={0014002C-00DC-4B10-AFA5-00B200AE006B}</author>
    <author>tc={00A7000A-004B-4ADD-A0EC-002700E400BA}</author>
    <author>tc={00A0009F-006F-4023-954F-003B00C80063}</author>
    <author>tc={009D00FD-000E-49B8-A445-001100C60064}</author>
    <author>tc={00AF005E-0095-4863-8CD0-007600EC00EA}</author>
    <author>tc={00AD00C8-009B-4147-B4FC-001500A2007B}</author>
    <author>tc={005900EE-0027-45E9-9B29-00620080005D}</author>
    <author>tc={00E10063-0042-48F6-9182-00EC00390088}</author>
    <author>tc={003F00B4-00E6-4686-88AC-00800095000E}</author>
    <author>tc={00190047-0010-4C40-8922-00D8001A0070}</author>
    <author>tc={00DC0056-00BD-4EFE-AE38-000D00AC0004}</author>
    <author>tc={009B00E9-00F6-4C3F-A05A-005800180071}</author>
    <author>tc={00840054-0044-4279-8812-00C00075001B}</author>
    <author>tc={0000002A-0062-42C0-9883-00B0005C00E4}</author>
    <author>tc={00C000B8-002B-4352-BD29-005C008000EE}</author>
    <author>tc={0042002E-00D6-4213-9422-009300CD00E6}</author>
    <author>tc={0062001F-0076-4A11-9EA9-0096002D00DE}</author>
    <author>tc={008D00D6-000B-4E39-B137-006D00C10068}</author>
    <author>tc={007F00AF-0052-4BD3-996A-008200A10040}</author>
    <author>tc={009A0086-009B-4905-9EF3-00B6008A0010}</author>
    <author>tc={001400B2-0064-4631-BB0C-005F00F20035}</author>
    <author>tc={008600E0-00E4-4ABB-BDB5-007E008C00AB}</author>
    <author>tc={00680004-003E-4914-928B-006800D20084}</author>
    <author>tc={008400B3-0041-45B4-BB03-00F5006D00CB}</author>
    <author>tc={00DD00C2-0057-4157-9C22-00EB005D005A}</author>
    <author>tc={00310032-0062-4C29-98BB-00A000380007}</author>
    <author>tc={009A008A-0063-4716-A9DD-00AF00D50051}</author>
    <author>tc={00D70099-0000-453A-99F1-00FA00070059}</author>
    <author>tc={00C90066-002E-4A6B-A170-00BC007900D5}</author>
    <author>tc={0026008B-001F-423A-83F9-007F00F30044}</author>
    <author>tc={003F00D6-0042-4441-A892-001E004300D0}</author>
    <author>tc={008A004C-0047-4E5E-B443-0007009C005E}</author>
    <author>tc={008A0072-00F2-4506-BDEB-003700E400D8}</author>
    <author>tc={00BB0019-00E5-4E33-B890-00CF001100FE}</author>
    <author>tc={00CB00DD-0027-48CB-AA1F-006C001300EB}</author>
    <author>tc={005600C3-0095-4393-B486-00F9004F009C}</author>
    <author>tc={00F20024-00FE-4F14-B00F-00F70088002B}</author>
    <author>tc={00200040-00C2-47CD-A19D-002A006C0084}</author>
    <author>tc={001800BB-0021-4881-9CE9-00CB00F30088}</author>
    <author>tc={00BF0028-0051-4C5B-A894-00C6003D0061}</author>
    <author>tc={00810016-0021-4699-8E26-00ED000000DE}</author>
    <author>tc={008F0007-008B-4C69-B58E-004800690053}</author>
    <author>tc={00D10075-000E-4476-A10D-0011000500FC}</author>
    <author>tc={00C40097-0061-43F8-BCD2-00B100630096}</author>
    <author>tc={00C600DB-0043-4720-96ED-00F7009F0065}</author>
    <author>tc={00390034-0099-42FF-9B8B-00F900520026}</author>
    <author>tc={0023006E-0068-4944-AF45-007800E500FC}</author>
    <author>tc={004B008D-0090-4191-B519-000A002D002C}</author>
    <author>tc={00300043-00FF-4683-90B8-00D200F100CC}</author>
    <author>tc={008500B0-0095-4D7C-A2A6-000C0008004C}</author>
    <author>tc={007A0002-0046-437F-852C-004D00430084}</author>
    <author>tc={003F0056-008E-4AF3-A48A-00DD006700E8}</author>
    <author>tc={00360096-009A-44C7-85BB-00E2004A008A}</author>
    <author>tc={00D6009F-00AC-4837-AF8E-000F002700AD}</author>
    <author>tc={006200C0-00B8-4805-A3D7-007E00E1006B}</author>
    <author>tc={002F0083-00D7-4406-B628-00BA000A00BA}</author>
    <author>tc={00620042-00F1-428A-8B7E-00D700A50054}</author>
    <author>tc={00BF002D-0092-41B8-B0F5-004100370009}</author>
    <author>tc={005F0076-00AE-4C3C-A464-004800B80052}</author>
    <author>tc={003F0088-0073-4D25-A4F5-005800C000AB}</author>
    <author>tc={000C0059-0012-476A-9540-00AF008D009E}</author>
    <author>tc={00D70058-0019-4FDB-877C-009F00950099}</author>
    <author>tc={005A004E-0055-4D29-BFCF-000F00C60000}</author>
    <author>tc={00BA00E0-0033-409A-AA2D-000F00C700E9}</author>
    <author>tc={002A00AF-00C1-4C83-B5D0-00B500C10086}</author>
    <author>tc={008E0022-00CC-4E2F-9404-002200E40066}</author>
    <author>tc={00D6009D-0010-411C-AAB3-00F9001B0007}</author>
    <author>tc={00FC002C-00AF-41D4-B8C6-0019003A002E}</author>
    <author>tc={0072007E-00B1-4C76-A2E5-0063002000FA}</author>
    <author>tc={00E00051-0081-4244-9AFC-00AE0095001A}</author>
    <author>tc={00FC0063-00DD-46BE-9123-00F0008E00BA}</author>
    <author>tc={00560084-0093-4157-BE23-004B00070013}</author>
    <author>tc={004E0017-0001-4948-84B6-00CA0086009C}</author>
    <author>tc={00DA0086-00A4-4772-B1CF-004300120030}</author>
    <author>tc={00A8008A-0013-4B6C-9AF8-00E10075004E}</author>
    <author>tc={000D00B0-008C-4961-87D3-0033004F003A}</author>
    <author>tc={004F00D2-00AE-47E8-99D3-007A00B50035}</author>
    <author>tc={008A00ED-0030-451E-A2A3-007700B90006}</author>
    <author>tc={00FE0037-00C1-4A7C-884F-00B400EE0067}</author>
    <author>tc={00AD0034-0032-48F0-BA01-00B8007A0025}</author>
    <author>tc={0070006C-0056-40CD-88AE-00F1006A0059}</author>
    <author>tc={004B00B9-0065-479C-9128-008200440081}</author>
    <author>tc={00BC000D-008E-4014-B92E-00B9003400BC}</author>
    <author>tc={00690090-0091-40E0-A83E-00EC001F0018}</author>
    <author>tc={008A007A-0076-4185-B498-00F5003F0063}</author>
    <author>tc={00D9000E-0021-4540-B9FC-0053000600AF}</author>
    <author>tc={00910085-00E6-4E2E-81CF-00D7000D006B}</author>
    <author>tc={00FE0067-002C-434A-B47D-00A4002300CF}</author>
    <author>tc={00690092-00C4-4912-A849-00BE00DB007D}</author>
    <author>tc={000600D5-00DF-404A-AD82-00BA00460004}</author>
    <author>tc={00530081-0046-4BC3-BEF0-003000420098}</author>
    <author>tc={008200CD-003A-4EDD-863C-002400570049}</author>
    <author>tc={00D800B6-009E-4885-958C-000000C400CD}</author>
    <author>tc={0045001D-00BC-4D3B-9EB8-00D400F3007D}</author>
    <author>tc={00D00062-004E-4A4C-A834-0012006000F6}</author>
    <author>tc={001C0020-0004-441E-AC63-001E00C800BC}</author>
    <author>tc={00C90006-001A-45B9-832D-00E8005600AC}</author>
    <author>tc={00A50025-0004-432B-B74E-00C400BE008F}</author>
    <author>tc={004F0032-00F7-4BEC-BB91-007400FE003B}</author>
    <author>tc={0063007A-0046-4D5B-8FF2-00BB00480065}</author>
    <author>tc={00FF0027-00E4-4F19-9584-00B600D600FF}</author>
    <author>tc={00650016-0081-4283-88AD-0075005E00A4}</author>
    <author>tc={00BA0016-0086-4BCA-A9EC-0037004400FD}</author>
    <author>tc={00F000E6-0056-4A74-B46F-00A300B7007A}</author>
    <author>tc={0075009D-0078-47F8-BAF4-0060000900C0}</author>
    <author>tc={004100F1-00CF-49D6-95A0-0012001400AB}</author>
    <author>tc={00BD0040-006D-4AD8-A090-00A8000E00E2}</author>
    <author>tc={006900E2-0056-4E69-AA81-00A9007B0071}</author>
    <author>tc={0067000C-0025-4E0A-908B-0048001E00F0}</author>
    <author>tc={006E00B2-00BD-40FE-A023-0077000D00E5}</author>
    <author>tc={00E100C5-00C9-4D7D-A028-000200BD005D}</author>
    <author>tc={005100DC-00EB-4ACA-8ED3-00CF006B0003}</author>
    <author>tc={00C200D9-00E1-4F9D-A4DD-0018003200B3}</author>
    <author>tc={00800067-00F0-4C32-8976-00EF00E20032}</author>
    <author>tc={004000E2-0057-42F7-BCD3-003700F300A8}</author>
    <author>tc={00080027-0063-40CB-8267-00F500BE0070}</author>
    <author>tc={00D200C4-0069-41BE-A3B1-006F004900D5}</author>
    <author>tc={008400C7-00C0-44E3-96F5-00E000720087}</author>
    <author>tc={0044005D-004F-4645-A892-005D00B40043}</author>
    <author>tc={00820073-00AF-48EB-A2F5-007D00BE0083}</author>
    <author>tc={00A2001C-005F-4037-90E0-004300A0003C}</author>
    <author>tc={003A00EE-0016-40CD-B7BA-00CE00BD0095}</author>
    <author>tc={00A200D0-0032-49CD-ACAB-00EF00DC00E3}</author>
    <author>tc={00E00097-00AA-4DDE-952C-0020004200F6}</author>
    <author>tc={0037006E-000D-4D80-BFFC-0079007F00CC}</author>
    <author>tc={00AF00A8-00E4-4632-9A7D-005500A400A1}</author>
    <author>tc={001600DF-0071-4E29-BEB8-00560028006B}</author>
    <author>tc={0054001B-0096-4D8B-BF77-0032002F00B7}</author>
    <author>tc={00450094-0000-435C-B34F-00D700E7007C}</author>
    <author>tc={00E4008F-008E-4822-A9BC-00C4003000EC}</author>
    <author>tc={00CC00C9-00A2-442A-BC19-00AA00EA0013}</author>
    <author>tc={002C00A4-0098-4B37-A5D3-001B00A60088}</author>
    <author>tc={007A0048-0050-43F7-BE31-000D009E00AF}</author>
    <author>tc={00A1001B-0001-4FD3-84AD-000D00D400C9}</author>
    <author>tc={00CA0029-0075-4E4D-936C-005800EE00C1}</author>
    <author>tc={0077005C-001F-441F-922A-0098008400BC}</author>
    <author>tc={0020007B-003E-442B-B925-002000CA0036}</author>
    <author>tc={00550078-006F-4F12-B885-006B002A00FF}</author>
    <author>tc={005000CA-00F2-4F52-8A28-001500EB00CD}</author>
    <author>tc={001900F4-00FF-4538-9225-0070006E00BB}</author>
    <author>tc={006C00D9-00EE-4AB9-AAD6-004A00FD00D7}</author>
    <author>tc={00890083-00EE-416E-B52F-009F008800BE}</author>
    <author>tc={007700C0-009D-4104-ADF3-008E0074007C}</author>
    <author>tc={0053004E-00A4-4ED4-B204-000800FB00DE}</author>
    <author>tc={0035001D-005F-4E32-9A92-002400CF00FE}</author>
    <author>tc={00AA00AE-0098-4DD6-8D6A-00C200D200F5}</author>
    <author>tc={00470058-00E4-42BD-A479-007E002F0053}</author>
    <author>tc={00CA001D-00CC-4C32-A9A1-0064000600D4}</author>
    <author>tc={000E004F-0085-4A0A-BA06-005E00A7007B}</author>
    <author>tc={00A600DC-0067-4256-9017-00F700CE00E1}</author>
    <author>tc={00F6008E-00CA-4442-9142-00AE001D0073}</author>
    <author>tc={00CF00FD-00BB-44AA-AF85-003600C4003D}</author>
    <author>tc={00CC0045-00F0-4800-919A-0048001C0064}</author>
    <author>tc={0089001B-0064-4B54-8CF6-0067009900A1}</author>
    <author>tc={00D2009E-00C1-4A17-8809-007400E5001A}</author>
    <author>tc={00EE000F-0090-4C55-B649-0057001D0003}</author>
    <author>tc={002F0021-00F5-47C1-946F-00EB009D00A8}</author>
    <author>tc={0015003B-0062-4509-9CBD-00F300970050}</author>
    <author>tc={00E0006F-0087-481A-9C39-0040001700B4}</author>
    <author>tc={00B70039-0038-4555-A475-00E100A1000C}</author>
    <author>tc={006700FD-00F2-4432-9A2A-006800CF004C}</author>
    <author>tc={00440094-0055-425D-9745-006D008700A6}</author>
    <author>tc={00BE006F-0072-4E2D-8D6C-002700C900C6}</author>
    <author>tc={0095001C-0025-4586-9B84-000E00E30099}</author>
    <author>tc={000F0064-005B-4354-B3B3-009B00B700E9}</author>
    <author>tc={006E0047-0003-454D-A2E5-00FB008F000E}</author>
    <author>tc={00DD0080-007A-4736-AD40-004F002D0074}</author>
    <author>tc={005C0017-00A3-4226-B02C-00AA00610062}</author>
    <author>tc={00F70056-00B4-4535-B4C7-003100990091}</author>
    <author>tc={0052002E-0043-41D6-B142-00E4006D002A}</author>
    <author>tc={005D004B-0064-4F4C-9A3F-008100C30021}</author>
    <author>tc={00AC00D7-0050-4FD7-B40A-0043009700FB}</author>
    <author>tc={009C0007-00BE-429C-89D5-0078006B0036}</author>
    <author>tc={00C000F9-00C4-4FF5-B3C4-000B00AE00C2}</author>
    <author>tc={00330082-009C-4692-AA71-004E002D0010}</author>
    <author>tc={009200E2-0038-414F-85FA-009400B7007F}</author>
    <author>tc={009200E2-0089-4797-BD90-00BB00630000}</author>
    <author>tc={004700B9-0047-42F0-978F-002B002600A0}</author>
    <author>tc={00680046-0031-4068-B899-0071007200CB}</author>
    <author>tc={00AE004D-0065-4EC4-A644-004A008700FA}</author>
    <author>tc={00FD00CE-0034-4EE5-BB3E-001D00CE0000}</author>
  </authors>
  <commentList>
    <comment ref="D38" authorId="0" shapeId="0">
      <text>
        <r>
          <rPr>
            <b/>
            <sz val="9"/>
            <rFont val="Tahoma"/>
          </rPr>
          <t>Jana Holíková:</t>
        </r>
        <r>
          <rPr>
            <sz val="9"/>
            <rFont val="Tahoma"/>
          </rPr>
          <t xml:space="preserve">
22053/04 +17.662.820
22053/07 -17.662.820
+17.622.280
</t>
        </r>
      </text>
    </comment>
    <comment ref="D39" authorId="1" shapeId="0">
      <text>
        <r>
          <rPr>
            <b/>
            <sz val="9"/>
            <rFont val="Tahoma"/>
          </rPr>
          <t>Jana Holíková:</t>
        </r>
        <r>
          <rPr>
            <sz val="9"/>
            <rFont val="Tahoma"/>
          </rPr>
          <t xml:space="preserve">
22101/07 +5.690.000
22116/08 +18.000.000
</t>
        </r>
      </text>
    </comment>
    <comment ref="D42" authorId="2" shapeId="0">
      <text>
        <r>
          <rPr>
            <b/>
            <sz val="9"/>
            <rFont val="Tahoma"/>
          </rPr>
          <t>Jana Holíková:</t>
        </r>
        <r>
          <rPr>
            <sz val="9"/>
            <rFont val="Tahoma"/>
          </rPr>
          <t xml:space="preserve">
22208/12 +8.400
</t>
        </r>
      </text>
    </comment>
    <comment ref="D45" authorId="3" shapeId="0">
      <text>
        <r>
          <rPr>
            <b/>
            <sz val="9"/>
            <rFont val="Tahoma"/>
          </rPr>
          <t>Jana Holíková:</t>
        </r>
        <r>
          <rPr>
            <sz val="9"/>
            <rFont val="Tahoma"/>
          </rPr>
          <t xml:space="preserve">
22208/12 +54.778
</t>
        </r>
      </text>
    </comment>
    <comment ref="D46" authorId="4" shapeId="0">
      <text>
        <r>
          <rPr>
            <b/>
            <sz val="9"/>
            <rFont val="Tahoma"/>
          </rPr>
          <t>Jana Holíková:</t>
        </r>
        <r>
          <rPr>
            <sz val="9"/>
            <rFont val="Tahoma"/>
          </rPr>
          <t xml:space="preserve">
22208/12 +376.840 +102.090
</t>
        </r>
      </text>
    </comment>
    <comment ref="D47" authorId="5" shapeId="0">
      <text>
        <r>
          <rPr>
            <b/>
            <sz val="9"/>
            <rFont val="Tahoma"/>
          </rPr>
          <t>Jana Holíková:</t>
        </r>
        <r>
          <rPr>
            <sz val="9"/>
            <rFont val="Tahoma"/>
          </rPr>
          <t xml:space="preserve">
22208/12 +89.997
</t>
        </r>
      </text>
    </comment>
    <comment ref="D60" authorId="6" shapeId="0">
      <text>
        <r>
          <rPr>
            <b/>
            <sz val="9"/>
            <rFont val="Tahoma"/>
          </rPr>
          <t>Jana Holíková:</t>
        </r>
        <r>
          <rPr>
            <sz val="9"/>
            <rFont val="Tahoma"/>
          </rPr>
          <t xml:space="preserve">
22208/12 +2.248,71
</t>
        </r>
      </text>
    </comment>
    <comment ref="D61" authorId="7" shapeId="0">
      <text>
        <r>
          <rPr>
            <b/>
            <sz val="9"/>
            <rFont val="Tahoma"/>
          </rPr>
          <t>Jana Holíková:</t>
        </r>
        <r>
          <rPr>
            <sz val="9"/>
            <rFont val="Tahoma"/>
          </rPr>
          <t xml:space="preserve">
22044/03 +21.871,80
22208/12 +21.288,43
</t>
        </r>
      </text>
    </comment>
    <comment ref="D62" authorId="8" shapeId="0">
      <text>
        <r>
          <rPr>
            <b/>
            <sz val="9"/>
            <rFont val="Tahoma"/>
          </rPr>
          <t>Jana Holíková:</t>
        </r>
        <r>
          <rPr>
            <sz val="9"/>
            <rFont val="Tahoma"/>
          </rPr>
          <t xml:space="preserve">
22116/08 +3.000.000
</t>
        </r>
      </text>
    </comment>
    <comment ref="D69" authorId="9" shapeId="0">
      <text>
        <r>
          <rPr>
            <b/>
            <sz val="9"/>
            <rFont val="Tahoma"/>
          </rPr>
          <t>Jana Holíková:</t>
        </r>
        <r>
          <rPr>
            <sz val="9"/>
            <rFont val="Tahoma"/>
          </rPr>
          <t xml:space="preserve">
22168/11 +70.000
</t>
        </r>
      </text>
    </comment>
    <comment ref="D72" authorId="10" shapeId="0">
      <text>
        <r>
          <rPr>
            <b/>
            <sz val="9"/>
            <rFont val="Tahoma"/>
          </rPr>
          <t>Jana Holíková:</t>
        </r>
        <r>
          <rPr>
            <sz val="9"/>
            <rFont val="Tahoma"/>
          </rPr>
          <t xml:space="preserve">
22218/12
</t>
        </r>
      </text>
    </comment>
    <comment ref="D73" authorId="11" shapeId="0">
      <text>
        <r>
          <rPr>
            <b/>
            <sz val="9"/>
            <rFont val="Tahoma"/>
          </rPr>
          <t>Jana Holíková:</t>
        </r>
        <r>
          <rPr>
            <sz val="9"/>
            <rFont val="Tahoma"/>
          </rPr>
          <t xml:space="preserve">
22218/12 +1.675.000
</t>
        </r>
      </text>
    </comment>
    <comment ref="D77" authorId="12" shapeId="0">
      <text>
        <r>
          <rPr>
            <b/>
            <sz val="9"/>
            <rFont val="Tahoma"/>
          </rPr>
          <t>Jana Holíková:</t>
        </r>
        <r>
          <rPr>
            <sz val="9"/>
            <rFont val="Tahoma"/>
          </rPr>
          <t xml:space="preserve">
22220/12 +28.544 +35.457 +51.351 +1.136 +9.481,50
</t>
        </r>
      </text>
    </comment>
    <comment ref="D78" authorId="13" shapeId="0">
      <text>
        <r>
          <rPr>
            <b/>
            <sz val="9"/>
            <rFont val="Tahoma"/>
          </rPr>
          <t>Jana Holíková:</t>
        </r>
        <r>
          <rPr>
            <sz val="9"/>
            <rFont val="Tahoma"/>
          </rPr>
          <t xml:space="preserve">
22220/12 +125.931,94
</t>
        </r>
      </text>
    </comment>
    <comment ref="D85" authorId="14" shapeId="0">
      <text>
        <r>
          <rPr>
            <b/>
            <sz val="9"/>
            <rFont val="Tahoma"/>
          </rPr>
          <t>Jana Holíková:</t>
        </r>
        <r>
          <rPr>
            <sz val="9"/>
            <rFont val="Tahoma"/>
          </rPr>
          <t xml:space="preserve">
22218/12 +513.800
22220/12 -513.800
</t>
        </r>
      </text>
    </comment>
    <comment ref="D109" authorId="15" shapeId="0">
      <text>
        <r>
          <rPr>
            <b/>
            <sz val="9"/>
            <rFont val="Tahoma"/>
          </rPr>
          <t>Jana:</t>
        </r>
        <r>
          <rPr>
            <sz val="9"/>
            <rFont val="Tahoma"/>
          </rPr>
          <t xml:space="preserve">
22050/04 +36.547,49
</t>
        </r>
      </text>
    </comment>
    <comment ref="D111" authorId="16" shapeId="0">
      <text>
        <r>
          <rPr>
            <b/>
            <sz val="9"/>
            <rFont val="Tahoma"/>
          </rPr>
          <t>Jana Holíková:</t>
        </r>
        <r>
          <rPr>
            <sz val="9"/>
            <rFont val="Tahoma"/>
          </rPr>
          <t xml:space="preserve">
22015/02 
+110.466,12 (0305)
+18.840,60 (0307)
+9.919,98 (0309)
</t>
        </r>
      </text>
    </comment>
    <comment ref="D112" authorId="17" shapeId="0">
      <text>
        <r>
          <rPr>
            <b/>
            <sz val="9"/>
            <rFont val="Tahoma"/>
          </rPr>
          <t>Jana Holíková:</t>
        </r>
        <r>
          <rPr>
            <sz val="9"/>
            <rFont val="Tahoma"/>
          </rPr>
          <t xml:space="preserve">
22015/02
+126.128,93 (0321)
+3.832,65 (0323)
22075/05 +1.466
</t>
        </r>
      </text>
    </comment>
    <comment ref="D113" authorId="18" shapeId="0">
      <text>
        <r>
          <rPr>
            <b/>
            <sz val="9"/>
            <rFont val="Tahoma"/>
          </rPr>
          <t>Jana Holíková:</t>
        </r>
        <r>
          <rPr>
            <sz val="9"/>
            <rFont val="Tahoma"/>
          </rPr>
          <t xml:space="preserve">
22015/02
+126.128,93 (0321)
+3.832,65 (0323)
</t>
        </r>
      </text>
    </comment>
    <comment ref="D114" authorId="19" shapeId="0">
      <text>
        <r>
          <rPr>
            <b/>
            <sz val="9"/>
            <rFont val="Tahoma"/>
          </rPr>
          <t>Jana Holíková:</t>
        </r>
        <r>
          <rPr>
            <sz val="9"/>
            <rFont val="Tahoma"/>
          </rPr>
          <t xml:space="preserve">
22015/02
+126.128,93 (0321)
+3.832,65 (0323)
22075/05 +12.600
</t>
        </r>
      </text>
    </comment>
    <comment ref="D115" authorId="20" shapeId="0">
      <text>
        <r>
          <rPr>
            <b/>
            <sz val="9"/>
            <rFont val="Tahoma"/>
          </rPr>
          <t>Jana Holíková:</t>
        </r>
        <r>
          <rPr>
            <sz val="9"/>
            <rFont val="Tahoma"/>
          </rPr>
          <t xml:space="preserve">
22015/02 +114.402,81
</t>
        </r>
      </text>
    </comment>
    <comment ref="D116" authorId="21" shapeId="0">
      <text>
        <r>
          <rPr>
            <b/>
            <sz val="9"/>
            <rFont val="Tahoma"/>
          </rPr>
          <t>Jana Holíková:</t>
        </r>
        <r>
          <rPr>
            <sz val="9"/>
            <rFont val="Tahoma"/>
          </rPr>
          <t xml:space="preserve">
22013 +12.480
</t>
        </r>
      </text>
    </comment>
    <comment ref="D117" authorId="22" shapeId="0">
      <text>
        <r>
          <rPr>
            <b/>
            <sz val="9"/>
            <rFont val="Tahoma"/>
          </rPr>
          <t>Jana Holíková:</t>
        </r>
        <r>
          <rPr>
            <sz val="9"/>
            <rFont val="Tahoma"/>
          </rPr>
          <t xml:space="preserve">
22015/02 +222.108,03
</t>
        </r>
      </text>
    </comment>
    <comment ref="D118" authorId="23" shapeId="0">
      <text>
        <r>
          <rPr>
            <b/>
            <sz val="9"/>
            <rFont val="Tahoma"/>
          </rPr>
          <t>Jana Holíková:</t>
        </r>
        <r>
          <rPr>
            <sz val="9"/>
            <rFont val="Tahoma"/>
          </rPr>
          <t xml:space="preserve">
22015/02
+126.128,93 (0321)
+3.832,65 (0323)
22075/05 +42.348
</t>
        </r>
      </text>
    </comment>
    <comment ref="D119" authorId="24" shapeId="0">
      <text>
        <r>
          <rPr>
            <b/>
            <sz val="9"/>
            <rFont val="Tahoma"/>
          </rPr>
          <t>Jana Holíková:</t>
        </r>
        <r>
          <rPr>
            <sz val="9"/>
            <rFont val="Tahoma"/>
          </rPr>
          <t xml:space="preserve">
22015/02
+126.128,93 (0321)
+3.832,65 (0323)
22075/05 +200
</t>
        </r>
      </text>
    </comment>
    <comment ref="D120" authorId="25" shapeId="0">
      <text>
        <r>
          <rPr>
            <b/>
            <sz val="9"/>
            <rFont val="Tahoma"/>
          </rPr>
          <t>Jana Holíková:</t>
        </r>
        <r>
          <rPr>
            <sz val="9"/>
            <rFont val="Tahoma"/>
          </rPr>
          <t xml:space="preserve">
22015/02 +233.812
</t>
        </r>
      </text>
    </comment>
    <comment ref="D121" authorId="26" shapeId="0">
      <text>
        <r>
          <rPr>
            <b/>
            <sz val="9"/>
            <rFont val="Tahoma"/>
          </rPr>
          <t>Jana Holíková:</t>
        </r>
        <r>
          <rPr>
            <sz val="9"/>
            <rFont val="Tahoma"/>
          </rPr>
          <t xml:space="preserve">
22043/03 +8.746.257,22
22043/06 -8.800.000 opr ro43/03
</t>
        </r>
      </text>
    </comment>
    <comment ref="D122" authorId="27" shapeId="0">
      <text>
        <r>
          <rPr>
            <b/>
            <sz val="9"/>
            <rFont val="Tahoma"/>
          </rPr>
          <t>Jana Holíková:</t>
        </r>
        <r>
          <rPr>
            <sz val="9"/>
            <rFont val="Tahoma"/>
          </rPr>
          <t xml:space="preserve">
22015/02
+126.128,93 (0321)
+3.832,65 (0323)
22075/05 
+158.100,50 (1131)
+131.100 (1132)
+29.600 (1180)
</t>
        </r>
      </text>
    </comment>
    <comment ref="D123" authorId="28" shapeId="0">
      <text>
        <r>
          <rPr>
            <b/>
            <sz val="9"/>
            <rFont val="Tahoma"/>
          </rPr>
          <t>Jana Holíková:</t>
        </r>
        <r>
          <rPr>
            <sz val="9"/>
            <rFont val="Tahoma"/>
          </rPr>
          <t xml:space="preserve">
22015/02
+126.128,93 (0321)
+3.832,65 (0323)
22075/05 +7.958,40
</t>
        </r>
      </text>
    </comment>
    <comment ref="D127" authorId="29" shapeId="0">
      <text>
        <r>
          <rPr>
            <b/>
            <sz val="9"/>
            <rFont val="Tahoma"/>
          </rPr>
          <t>Jana Holíková:</t>
        </r>
        <r>
          <rPr>
            <sz val="9"/>
            <rFont val="Tahoma"/>
          </rPr>
          <t xml:space="preserve">
22009.02
-50.000   741
+50.000  528
22010.02
-50.000  741
+50.000  416
22108/07 +50.000 035
22213/12 -50.000 opr ro108
</t>
        </r>
      </text>
    </comment>
    <comment ref="D128" authorId="30" shapeId="0">
      <text>
        <r>
          <rPr>
            <b/>
            <sz val="9"/>
            <rFont val="Tahoma"/>
          </rPr>
          <t>Jana Holíková:</t>
        </r>
        <r>
          <rPr>
            <sz val="9"/>
            <rFont val="Tahoma"/>
          </rPr>
          <t xml:space="preserve">
22075/05 +103.228
22140/09 +314.430
22150/10 +136.796
22163/11  +33.395
</t>
        </r>
      </text>
    </comment>
    <comment ref="D147" authorId="31" shapeId="0">
      <text>
        <r>
          <rPr>
            <b/>
            <sz val="9"/>
            <rFont val="Tahoma"/>
          </rPr>
          <t>Jana Holíková:</t>
        </r>
        <r>
          <rPr>
            <sz val="9"/>
            <rFont val="Tahoma"/>
          </rPr>
          <t xml:space="preserve">
22135/09 +94.600
22157/10 +97.800
22171/11 +105.400
22206/12 +216.000
22218/12 -513.800
22220/12 +513.800
</t>
        </r>
      </text>
    </comment>
    <comment ref="D152" authorId="32" shapeId="0">
      <text>
        <r>
          <rPr>
            <b/>
            <sz val="9"/>
            <rFont val="Tahoma"/>
          </rPr>
          <t>Jana Holíková:</t>
        </r>
        <r>
          <rPr>
            <sz val="9"/>
            <rFont val="Tahoma"/>
          </rPr>
          <t xml:space="preserve">
22045/03 +200.000
</t>
        </r>
      </text>
    </comment>
    <comment ref="D153" authorId="33" shapeId="0">
      <text>
        <r>
          <rPr>
            <b/>
            <sz val="9"/>
            <rFont val="Tahoma"/>
          </rPr>
          <t>Jana Holíková:</t>
        </r>
        <r>
          <rPr>
            <sz val="9"/>
            <rFont val="Tahoma"/>
          </rPr>
          <t xml:space="preserve">
22045/03 -200.000
</t>
        </r>
      </text>
    </comment>
    <comment ref="D154" authorId="34" shapeId="0">
      <text>
        <r>
          <rPr>
            <b/>
            <sz val="9"/>
            <rFont val="Tahoma"/>
          </rPr>
          <t>Jana Holíková:</t>
        </r>
        <r>
          <rPr>
            <sz val="9"/>
            <rFont val="Tahoma"/>
          </rPr>
          <t xml:space="preserve">
22045/03 -200.000
</t>
        </r>
      </text>
    </comment>
    <comment ref="D158" authorId="35" shapeId="0">
      <text>
        <r>
          <rPr>
            <b/>
            <sz val="9"/>
            <rFont val="Tahoma"/>
          </rPr>
          <t>Jana Holíková:</t>
        </r>
        <r>
          <rPr>
            <sz val="9"/>
            <rFont val="Tahoma"/>
          </rPr>
          <t xml:space="preserve">
22047/06 -5.500.000 opr ro47/04
</t>
        </r>
      </text>
    </comment>
    <comment ref="D161" authorId="36" shapeId="0">
      <text>
        <r>
          <rPr>
            <b/>
            <sz val="9"/>
            <rFont val="Tahoma"/>
          </rPr>
          <t>Jana Holíková:</t>
        </r>
        <r>
          <rPr>
            <sz val="9"/>
            <rFont val="Tahoma"/>
          </rPr>
          <t xml:space="preserve">
22172/11 -250.000
</t>
        </r>
      </text>
    </comment>
    <comment ref="D164" authorId="37" shapeId="0">
      <text>
        <r>
          <rPr>
            <b/>
            <sz val="9"/>
            <rFont val="Tahoma"/>
          </rPr>
          <t>Jana Holíková:</t>
        </r>
        <r>
          <rPr>
            <sz val="9"/>
            <rFont val="Tahoma"/>
          </rPr>
          <t xml:space="preserve">
22061/04 -7.500.000
</t>
        </r>
      </text>
    </comment>
    <comment ref="D165" authorId="38" shapeId="0">
      <text>
        <r>
          <rPr>
            <b/>
            <sz val="9"/>
            <rFont val="Tahoma"/>
          </rPr>
          <t>Jana:</t>
        </r>
        <r>
          <rPr>
            <sz val="9"/>
            <rFont val="Tahoma"/>
          </rPr>
          <t xml:space="preserve">
22088/06 -1.200.000
</t>
        </r>
      </text>
    </comment>
    <comment ref="D169" authorId="39" shapeId="0">
      <text>
        <r>
          <rPr>
            <b/>
            <sz val="9"/>
            <rFont val="Tahoma"/>
          </rPr>
          <t>Jana Holíková:</t>
        </r>
        <r>
          <rPr>
            <sz val="9"/>
            <rFont val="Tahoma"/>
          </rPr>
          <t xml:space="preserve">
22033/03 -15.180.000
</t>
        </r>
      </text>
    </comment>
    <comment ref="D173" authorId="40" shapeId="0">
      <text>
        <r>
          <rPr>
            <b/>
            <sz val="9"/>
            <rFont val="Tahoma"/>
          </rPr>
          <t>Jana Holíková:</t>
        </r>
        <r>
          <rPr>
            <sz val="9"/>
            <rFont val="Tahoma"/>
          </rPr>
          <t xml:space="preserve">
22101/07 -5.690.000
</t>
        </r>
      </text>
    </comment>
    <comment ref="D175" authorId="41" shapeId="0">
      <text>
        <r>
          <rPr>
            <b/>
            <sz val="9"/>
            <rFont val="Tahoma"/>
          </rPr>
          <t>Jana Holíková:</t>
        </r>
        <r>
          <rPr>
            <sz val="9"/>
            <rFont val="Tahoma"/>
          </rPr>
          <t xml:space="preserve">
22116/08 -21.000.000
</t>
        </r>
      </text>
    </comment>
    <comment ref="D177" authorId="42" shapeId="0">
      <text>
        <r>
          <rPr>
            <b/>
            <sz val="9"/>
            <rFont val="Tahoma"/>
          </rPr>
          <t>Jana Holíková:</t>
        </r>
        <r>
          <rPr>
            <sz val="9"/>
            <rFont val="Tahoma"/>
          </rPr>
          <t xml:space="preserve">
22151/10 -447.700
</t>
        </r>
      </text>
    </comment>
    <comment ref="D178" authorId="43" shapeId="0">
      <text>
        <r>
          <rPr>
            <b/>
            <sz val="9"/>
            <rFont val="Tahoma"/>
          </rPr>
          <t>Jana Holíková:</t>
        </r>
        <r>
          <rPr>
            <sz val="9"/>
            <rFont val="Tahoma"/>
          </rPr>
          <t xml:space="preserve">
22076/05 +500.000
</t>
        </r>
      </text>
    </comment>
    <comment ref="D183" authorId="44" shapeId="0">
      <text>
        <r>
          <rPr>
            <b/>
            <sz val="9"/>
            <rFont val="Tahoma"/>
          </rPr>
          <t>Jana Holíková:</t>
        </r>
        <r>
          <rPr>
            <sz val="9"/>
            <rFont val="Tahoma"/>
          </rPr>
          <t xml:space="preserve">
22212/12 -3.000.000
</t>
        </r>
      </text>
    </comment>
    <comment ref="D187" authorId="45" shapeId="0">
      <text>
        <r>
          <rPr>
            <b/>
            <sz val="9"/>
            <rFont val="Tahoma"/>
          </rPr>
          <t>Jana:</t>
        </r>
        <r>
          <rPr>
            <sz val="9"/>
            <rFont val="Tahoma"/>
          </rPr>
          <t xml:space="preserve">
22172/11 +221.800
</t>
        </r>
      </text>
    </comment>
    <comment ref="D188" authorId="46" shapeId="0">
      <text>
        <r>
          <rPr>
            <b/>
            <sz val="9"/>
            <rFont val="Tahoma"/>
          </rPr>
          <t>Jana:</t>
        </r>
        <r>
          <rPr>
            <sz val="9"/>
            <rFont val="Tahoma"/>
          </rPr>
          <t xml:space="preserve">
22112/08 +54.994,85
22212/12 +1.462.984,33
</t>
        </r>
      </text>
    </comment>
    <comment ref="D189" authorId="47" shapeId="0">
      <text>
        <r>
          <rPr>
            <b/>
            <sz val="9"/>
            <rFont val="Tahoma"/>
          </rPr>
          <t>Jana:</t>
        </r>
        <r>
          <rPr>
            <sz val="9"/>
            <rFont val="Tahoma"/>
          </rPr>
          <t xml:space="preserve">
22132/09 +1.076.000
</t>
        </r>
      </text>
    </comment>
    <comment ref="D190" authorId="48" shapeId="0">
      <text>
        <r>
          <rPr>
            <b/>
            <sz val="9"/>
            <rFont val="Tahoma"/>
          </rPr>
          <t>Jana Holíková:</t>
        </r>
        <r>
          <rPr>
            <sz val="9"/>
            <rFont val="Tahoma"/>
          </rPr>
          <t xml:space="preserve">
22034/03 +209.800
</t>
        </r>
      </text>
    </comment>
    <comment ref="D192" authorId="49" shapeId="0">
      <text>
        <r>
          <rPr>
            <b/>
            <sz val="9"/>
            <rFont val="Tahoma"/>
          </rPr>
          <t>Jana:</t>
        </r>
        <r>
          <rPr>
            <sz val="9"/>
            <rFont val="Tahoma"/>
          </rPr>
          <t xml:space="preserve">
22088/06 +1.144.538
</t>
        </r>
      </text>
    </comment>
    <comment ref="D193" authorId="50" shapeId="0">
      <text>
        <r>
          <rPr>
            <b/>
            <sz val="9"/>
            <rFont val="Tahoma"/>
          </rPr>
          <t>Jana Holíková:</t>
        </r>
        <r>
          <rPr>
            <sz val="9"/>
            <rFont val="Tahoma"/>
          </rPr>
          <t xml:space="preserve">
22061/04 +7.476.000
</t>
        </r>
      </text>
    </comment>
    <comment ref="D194" authorId="51" shapeId="0">
      <text>
        <r>
          <rPr>
            <b/>
            <sz val="9"/>
            <rFont val="Tahoma"/>
          </rPr>
          <t>Jana Holíková:</t>
        </r>
        <r>
          <rPr>
            <sz val="9"/>
            <rFont val="Tahoma"/>
          </rPr>
          <t xml:space="preserve">
22011/02 +180.804,25
</t>
        </r>
      </text>
    </comment>
    <comment ref="D195" authorId="52" shapeId="0">
      <text>
        <r>
          <rPr>
            <b/>
            <sz val="9"/>
            <rFont val="Tahoma"/>
          </rPr>
          <t>Jana Holíková:</t>
        </r>
        <r>
          <rPr>
            <sz val="9"/>
            <rFont val="Tahoma"/>
          </rPr>
          <t xml:space="preserve">
22011/02 +3.073.672,15
</t>
        </r>
      </text>
    </comment>
    <comment ref="D196" authorId="53" shapeId="0">
      <text>
        <r>
          <rPr>
            <b/>
            <sz val="9"/>
            <rFont val="Tahoma"/>
          </rPr>
          <t>Jana Holíková:</t>
        </r>
        <r>
          <rPr>
            <sz val="9"/>
            <rFont val="Tahoma"/>
          </rPr>
          <t xml:space="preserve">
22098/07 +847
</t>
        </r>
      </text>
    </comment>
    <comment ref="D197" authorId="54" shapeId="0">
      <text>
        <r>
          <rPr>
            <b/>
            <sz val="9"/>
            <rFont val="Tahoma"/>
          </rPr>
          <t>Jana Holíková:</t>
        </r>
        <r>
          <rPr>
            <sz val="9"/>
            <rFont val="Tahoma"/>
          </rPr>
          <t xml:space="preserve">
22098/07 +16.940
</t>
        </r>
      </text>
    </comment>
    <comment ref="D198" authorId="55" shapeId="0">
      <text>
        <r>
          <rPr>
            <b/>
            <sz val="9"/>
            <rFont val="Tahoma"/>
          </rPr>
          <t>Jana Holíková:</t>
        </r>
        <r>
          <rPr>
            <sz val="9"/>
            <rFont val="Tahoma"/>
          </rPr>
          <t xml:space="preserve">
22153/10 +74.612,47
</t>
        </r>
      </text>
    </comment>
    <comment ref="D199" authorId="56" shapeId="0">
      <text>
        <r>
          <rPr>
            <b/>
            <sz val="9"/>
            <rFont val="Tahoma"/>
          </rPr>
          <t>Jana Holíková:</t>
        </r>
        <r>
          <rPr>
            <sz val="9"/>
            <rFont val="Tahoma"/>
          </rPr>
          <t xml:space="preserve">
22153/10 +1.268.412,02
</t>
        </r>
      </text>
    </comment>
    <comment ref="D200" authorId="57" shapeId="0">
      <text>
        <r>
          <rPr>
            <b/>
            <sz val="9"/>
            <rFont val="Tahoma"/>
          </rPr>
          <t>Jana Holíková:</t>
        </r>
        <r>
          <rPr>
            <sz val="9"/>
            <rFont val="Tahoma"/>
          </rPr>
          <t xml:space="preserve">
22142/09 -15.600 uz29014
22208/12 -84.400
</t>
        </r>
      </text>
    </comment>
    <comment ref="D201" authorId="58" shapeId="0">
      <text>
        <r>
          <rPr>
            <b/>
            <sz val="9"/>
            <rFont val="Tahoma"/>
          </rPr>
          <t>Jana Holíková:</t>
        </r>
        <r>
          <rPr>
            <sz val="9"/>
            <rFont val="Tahoma"/>
          </rPr>
          <t xml:space="preserve">
22142/09 +15.600
</t>
        </r>
      </text>
    </comment>
    <comment ref="D202" authorId="59" shapeId="0">
      <text>
        <r>
          <rPr>
            <b/>
            <sz val="9"/>
            <rFont val="Tahoma"/>
          </rPr>
          <t>Jana:</t>
        </r>
        <r>
          <rPr>
            <sz val="9"/>
            <rFont val="Tahoma"/>
          </rPr>
          <t xml:space="preserve">
22160/11 úz33092 
+205.167,05 1431
+676.702,95 1435
</t>
        </r>
      </text>
    </comment>
    <comment ref="D203" authorId="60" shapeId="0">
      <text>
        <r>
          <rPr>
            <b/>
            <sz val="9"/>
            <rFont val="Tahoma"/>
          </rPr>
          <t>Jana:</t>
        </r>
        <r>
          <rPr>
            <sz val="9"/>
            <rFont val="Tahoma"/>
          </rPr>
          <t xml:space="preserve">
22175/11 úz33092 
+181.310,43 1431
+598.016,57 1435
</t>
        </r>
      </text>
    </comment>
    <comment ref="D204" authorId="61" shapeId="0">
      <text>
        <r>
          <rPr>
            <b/>
            <sz val="9"/>
            <rFont val="Tahoma"/>
          </rPr>
          <t>Jana:</t>
        </r>
        <r>
          <rPr>
            <sz val="9"/>
            <rFont val="Tahoma"/>
          </rPr>
          <t xml:space="preserve">
22176/11 úz33092 
+254.662,65 1431
+839954,35 1435
</t>
        </r>
      </text>
    </comment>
    <comment ref="D205" authorId="62" shapeId="0">
      <text>
        <r>
          <rPr>
            <b/>
            <sz val="9"/>
            <rFont val="Tahoma"/>
          </rPr>
          <t>Jana:</t>
        </r>
        <r>
          <rPr>
            <sz val="9"/>
            <rFont val="Tahoma"/>
          </rPr>
          <t xml:space="preserve">
22160/11 úz33092 
+949.216,65 1431
+3.130.803,35 1435
</t>
        </r>
      </text>
    </comment>
    <comment ref="D206" authorId="63" shapeId="0">
      <text>
        <r>
          <rPr>
            <b/>
            <sz val="9"/>
            <rFont val="Tahoma"/>
          </rPr>
          <t>Jana:</t>
        </r>
        <r>
          <rPr>
            <sz val="9"/>
            <rFont val="Tahoma"/>
          </rPr>
          <t xml:space="preserve">
22117/08 +47.000
</t>
        </r>
      </text>
    </comment>
    <comment ref="D207" authorId="64" shapeId="0">
      <text>
        <r>
          <rPr>
            <b/>
            <sz val="9"/>
            <rFont val="Tahoma"/>
          </rPr>
          <t>Jana:</t>
        </r>
        <r>
          <rPr>
            <sz val="9"/>
            <rFont val="Tahoma"/>
          </rPr>
          <t xml:space="preserve">
22087/06 +570.000
</t>
        </r>
      </text>
    </comment>
    <comment ref="D210" authorId="65" shapeId="0">
      <text>
        <r>
          <rPr>
            <b/>
            <sz val="9"/>
            <rFont val="Tahoma"/>
          </rPr>
          <t>Jana Holíková:</t>
        </r>
        <r>
          <rPr>
            <sz val="9"/>
            <rFont val="Tahoma"/>
          </rPr>
          <t xml:space="preserve">
22208/12 -1.043
</t>
        </r>
      </text>
    </comment>
    <comment ref="D211" authorId="66" shapeId="0">
      <text>
        <r>
          <rPr>
            <b/>
            <sz val="9"/>
            <rFont val="Tahoma"/>
          </rPr>
          <t>Jana:</t>
        </r>
        <r>
          <rPr>
            <sz val="9"/>
            <rFont val="Tahoma"/>
          </rPr>
          <t xml:space="preserve">
22097/06 +20.000
</t>
        </r>
      </text>
    </comment>
    <comment ref="D212" authorId="67" shapeId="0">
      <text>
        <r>
          <rPr>
            <b/>
            <sz val="9"/>
            <rFont val="Tahoma"/>
          </rPr>
          <t>Jana Holíková:</t>
        </r>
        <r>
          <rPr>
            <sz val="9"/>
            <rFont val="Tahoma"/>
          </rPr>
          <t xml:space="preserve">
22216/12 -64.171
</t>
        </r>
      </text>
    </comment>
    <comment ref="D213" authorId="68" shapeId="0">
      <text>
        <r>
          <rPr>
            <b/>
            <sz val="9"/>
            <rFont val="Tahoma"/>
          </rPr>
          <t>Jana Holíková:</t>
        </r>
        <r>
          <rPr>
            <sz val="9"/>
            <rFont val="Tahoma"/>
          </rPr>
          <t xml:space="preserve">
22216/12 +326.757
</t>
        </r>
      </text>
    </comment>
    <comment ref="D214" authorId="69" shapeId="0">
      <text>
        <r>
          <rPr>
            <b/>
            <sz val="9"/>
            <rFont val="Tahoma"/>
          </rPr>
          <t>Jana Holíková:</t>
        </r>
        <r>
          <rPr>
            <sz val="9"/>
            <rFont val="Tahoma"/>
          </rPr>
          <t xml:space="preserve">
22517/07 změna orj z 541 na 029
</t>
        </r>
      </text>
    </comment>
    <comment ref="D215" authorId="70" shapeId="0">
      <text>
        <r>
          <rPr>
            <b/>
            <sz val="9"/>
            <rFont val="Tahoma"/>
          </rPr>
          <t>Jana Holíková:</t>
        </r>
        <r>
          <rPr>
            <sz val="9"/>
            <rFont val="Tahoma"/>
          </rPr>
          <t xml:space="preserve">
22212.12 -17.426,64
</t>
        </r>
      </text>
    </comment>
    <comment ref="D216" authorId="71" shapeId="0">
      <text>
        <r>
          <rPr>
            <b/>
            <sz val="9"/>
            <rFont val="Tahoma"/>
          </rPr>
          <t>Jana Holíková:</t>
        </r>
        <r>
          <rPr>
            <sz val="9"/>
            <rFont val="Tahoma"/>
          </rPr>
          <t xml:space="preserve">
22208/12 +3.000
</t>
        </r>
      </text>
    </comment>
    <comment ref="D217" authorId="72" shapeId="0">
      <text>
        <r>
          <rPr>
            <b/>
            <sz val="9"/>
            <rFont val="Tahoma"/>
          </rPr>
          <t>Jana Holíková:</t>
        </r>
        <r>
          <rPr>
            <sz val="9"/>
            <rFont val="Tahoma"/>
          </rPr>
          <t xml:space="preserve">
22208/12 -300
</t>
        </r>
      </text>
    </comment>
    <comment ref="D219" authorId="73" shapeId="0">
      <text>
        <r>
          <rPr>
            <b/>
            <sz val="9"/>
            <rFont val="Tahoma"/>
          </rPr>
          <t>Jana:</t>
        </r>
        <r>
          <rPr>
            <sz val="9"/>
            <rFont val="Tahoma"/>
          </rPr>
          <t xml:space="preserve">
22213/12 +50.000 opr ro108
</t>
        </r>
      </text>
    </comment>
    <comment ref="D220" authorId="74" shapeId="0">
      <text>
        <r>
          <rPr>
            <b/>
            <sz val="9"/>
            <rFont val="Tahoma"/>
          </rPr>
          <t>Jana:</t>
        </r>
        <r>
          <rPr>
            <sz val="9"/>
            <rFont val="Tahoma"/>
          </rPr>
          <t xml:space="preserve">
22090/06 +188.000
</t>
        </r>
      </text>
    </comment>
    <comment ref="D221" authorId="75" shapeId="0">
      <text>
        <r>
          <rPr>
            <b/>
            <sz val="9"/>
            <rFont val="Tahoma"/>
          </rPr>
          <t>Jana:</t>
        </r>
        <r>
          <rPr>
            <sz val="9"/>
            <rFont val="Tahoma"/>
          </rPr>
          <t xml:space="preserve">
22002/01 +4.450.000 úz 345
</t>
        </r>
      </text>
    </comment>
    <comment ref="D222" authorId="76" shapeId="0">
      <text>
        <r>
          <rPr>
            <b/>
            <sz val="9"/>
            <rFont val="Tahoma"/>
          </rPr>
          <t>Jana Holíková:</t>
        </r>
        <r>
          <rPr>
            <sz val="9"/>
            <rFont val="Tahoma"/>
          </rPr>
          <t xml:space="preserve">
22065/04 +80.000
</t>
        </r>
      </text>
    </comment>
    <comment ref="D223" authorId="77" shapeId="0">
      <text>
        <r>
          <rPr>
            <b/>
            <sz val="9"/>
            <rFont val="Tahoma"/>
          </rPr>
          <t>Jana Holíková:</t>
        </r>
        <r>
          <rPr>
            <sz val="9"/>
            <rFont val="Tahoma"/>
          </rPr>
          <t xml:space="preserve">
22064/04 +44.000
</t>
        </r>
      </text>
    </comment>
    <comment ref="D224" authorId="78" shapeId="0">
      <text>
        <r>
          <rPr>
            <b/>
            <sz val="9"/>
            <rFont val="Tahoma"/>
          </rPr>
          <t>Jana:</t>
        </r>
        <r>
          <rPr>
            <sz val="9"/>
            <rFont val="Tahoma"/>
          </rPr>
          <t xml:space="preserve">
22219/12 +36.936
</t>
        </r>
      </text>
    </comment>
    <comment ref="D225" authorId="79" shapeId="0">
      <text>
        <r>
          <rPr>
            <b/>
            <sz val="9"/>
            <rFont val="Tahoma"/>
          </rPr>
          <t>Jana Holíková:</t>
        </r>
        <r>
          <rPr>
            <sz val="9"/>
            <rFont val="Tahoma"/>
          </rPr>
          <t xml:space="preserve">
22086/06 +2.216.050
22105/07 +1.268.300
22135/09 +75.200
</t>
        </r>
      </text>
    </comment>
    <comment ref="D226" authorId="80" shapeId="0">
      <text>
        <r>
          <rPr>
            <b/>
            <sz val="9"/>
            <rFont val="Tahoma"/>
          </rPr>
          <t>Jana Holíková:</t>
        </r>
        <r>
          <rPr>
            <sz val="9"/>
            <rFont val="Tahoma"/>
          </rPr>
          <t xml:space="preserve">
22021/02 úz13014, 120 1,5
+2.670,26 (0322, 1201)
+15.131,44 (0322, 1205)
+4.369,37 (0323, 1201)
+24.759,73 (0323, 1205)
22089/06 úz13014 120 1,5
+742,69 (0321, 1201)
+4.208,59 (0321, 1205)
+2.157,75 (0322, 1201)
+12.227,25 (0322, 1205)
+755,69 (0323, 1201)
+4.282,21 (0323, 1205)
33162/11 úz13014 120 1,5
+5.135,13 (0309 1201)
+29.099,07 (0309 1205)
+4.048,85 (0321 1201)
+22.943,50 (0321 1205)
+4.937,63 (0322 1201)
+27.979,87 (1205)
+6.863,30 (1201)
+38.892,03 (1205)
</t>
        </r>
      </text>
    </comment>
    <comment ref="D227" authorId="81" shapeId="0">
      <text>
        <r>
          <rPr>
            <b/>
            <sz val="9"/>
            <rFont val="Tahoma"/>
          </rPr>
          <t>Jana Holíková:</t>
        </r>
        <r>
          <rPr>
            <sz val="9"/>
            <rFont val="Tahoma"/>
          </rPr>
          <t xml:space="preserve">
22145/10 +488.000
</t>
        </r>
      </text>
    </comment>
    <comment ref="D228" authorId="82" shapeId="0">
      <text>
        <r>
          <rPr>
            <b/>
            <sz val="9"/>
            <rFont val="Tahoma"/>
          </rPr>
          <t>Jana:</t>
        </r>
        <r>
          <rPr>
            <sz val="9"/>
            <rFont val="Tahoma"/>
          </rPr>
          <t xml:space="preserve">
22118/08 +210.100
</t>
        </r>
      </text>
    </comment>
    <comment ref="D231" authorId="83" shapeId="0">
      <text>
        <r>
          <rPr>
            <b/>
            <sz val="9"/>
            <rFont val="Tahoma"/>
          </rPr>
          <t>Jana Holíková:</t>
        </r>
        <r>
          <rPr>
            <sz val="9"/>
            <rFont val="Tahoma"/>
          </rPr>
          <t xml:space="preserve">
22208/12 -1.710.000
</t>
        </r>
      </text>
    </comment>
    <comment ref="D233" authorId="84" shapeId="0">
      <text>
        <r>
          <rPr>
            <b/>
            <sz val="9"/>
            <rFont val="Tahoma"/>
          </rPr>
          <t>Jana Holíková:</t>
        </r>
        <r>
          <rPr>
            <sz val="9"/>
            <rFont val="Tahoma"/>
          </rPr>
          <t xml:space="preserve">
22212/12 úz 13013
-146.131,60 1041
-1.242.118,40 1045
</t>
        </r>
      </text>
    </comment>
    <comment ref="D234" authorId="85" shapeId="0">
      <text>
        <r>
          <rPr>
            <b/>
            <sz val="9"/>
            <rFont val="Tahoma"/>
          </rPr>
          <t>Jana Holíková:</t>
        </r>
        <r>
          <rPr>
            <sz val="9"/>
            <rFont val="Tahoma"/>
          </rPr>
          <t xml:space="preserve">
22056/04 
-    56.046,22 17968 1071
-1.120.924,37 17969 1075 
</t>
        </r>
      </text>
    </comment>
    <comment ref="D235" authorId="86" shapeId="0">
      <text>
        <r>
          <rPr>
            <b/>
            <sz val="9"/>
            <rFont val="Tahoma"/>
          </rPr>
          <t>Jana Holíková:</t>
        </r>
        <r>
          <rPr>
            <sz val="9"/>
            <rFont val="Tahoma"/>
          </rPr>
          <t xml:space="preserve">
22098/07
-44.889,80 17968 1071
-897.795,96 17969 1075
</t>
        </r>
      </text>
    </comment>
    <comment ref="D236" authorId="87" shapeId="0">
      <text>
        <r>
          <rPr>
            <b/>
            <sz val="9"/>
            <rFont val="Tahoma"/>
          </rPr>
          <t>Jana Holíková:</t>
        </r>
        <r>
          <rPr>
            <sz val="9"/>
            <rFont val="Tahoma"/>
          </rPr>
          <t xml:space="preserve">
22011/02 
+116.777,32  1071
+1.985.214,55  1075
</t>
        </r>
      </text>
    </comment>
    <comment ref="D237" authorId="88" shapeId="0">
      <text>
        <r>
          <rPr>
            <b/>
            <sz val="9"/>
            <rFont val="Tahoma"/>
          </rPr>
          <t>Jana Holíková:</t>
        </r>
        <r>
          <rPr>
            <sz val="9"/>
            <rFont val="Tahoma"/>
          </rPr>
          <t xml:space="preserve">
22153/10 +739.250,27
</t>
        </r>
      </text>
    </comment>
    <comment ref="D238" authorId="89" shapeId="0">
      <text>
        <r>
          <rPr>
            <b/>
            <sz val="9"/>
            <rFont val="Tahoma"/>
          </rPr>
          <t>Jana Holíková:</t>
        </r>
        <r>
          <rPr>
            <sz val="9"/>
            <rFont val="Tahoma"/>
          </rPr>
          <t xml:space="preserve">
22153/10 +12.567.254,62
</t>
        </r>
      </text>
    </comment>
    <comment ref="D239" authorId="90" shapeId="0">
      <text>
        <r>
          <rPr>
            <b/>
            <sz val="9"/>
            <rFont val="Tahoma"/>
          </rPr>
          <t>Jana Holíková:</t>
        </r>
        <r>
          <rPr>
            <sz val="9"/>
            <rFont val="Tahoma"/>
          </rPr>
          <t xml:space="preserve">
22102/07 -4,60
</t>
        </r>
      </text>
    </comment>
    <comment ref="D240" authorId="91" shapeId="0">
      <text>
        <r>
          <rPr>
            <b/>
            <sz val="9"/>
            <rFont val="Tahoma"/>
          </rPr>
          <t>Jana Holíková:</t>
        </r>
        <r>
          <rPr>
            <sz val="9"/>
            <rFont val="Tahoma"/>
          </rPr>
          <t xml:space="preserve">
22212/12 -1.929.873,20
</t>
        </r>
      </text>
    </comment>
    <comment ref="D241" authorId="92" shapeId="0">
      <text>
        <r>
          <rPr>
            <b/>
            <sz val="9"/>
            <rFont val="Tahoma"/>
          </rPr>
          <t>Jana Holíková:</t>
        </r>
        <r>
          <rPr>
            <sz val="9"/>
            <rFont val="Tahoma"/>
          </rPr>
          <t xml:space="preserve">
22212/12 +1.929.873,20
</t>
        </r>
      </text>
    </comment>
    <comment ref="D242" authorId="93" shapeId="0">
      <text>
        <r>
          <rPr>
            <b/>
            <sz val="9"/>
            <rFont val="Tahoma"/>
          </rPr>
          <t>Jana Holíková:</t>
        </r>
        <r>
          <rPr>
            <sz val="9"/>
            <rFont val="Tahoma"/>
          </rPr>
          <t xml:space="preserve">
22212/12 +2.869.843,80
</t>
        </r>
      </text>
    </comment>
    <comment ref="D244" authorId="94" shapeId="0">
      <text>
        <r>
          <rPr>
            <b/>
            <sz val="9"/>
            <rFont val="Tahoma"/>
          </rPr>
          <t>Jana:</t>
        </r>
        <r>
          <rPr>
            <sz val="9"/>
            <rFont val="Tahoma"/>
          </rPr>
          <t xml:space="preserve">
22117/08 +260.000
</t>
        </r>
      </text>
    </comment>
    <comment ref="D246" authorId="95" shapeId="0">
      <text>
        <r>
          <rPr>
            <b/>
            <sz val="9"/>
            <rFont val="Tahoma"/>
          </rPr>
          <t>Jana Holíková:</t>
        </r>
        <r>
          <rPr>
            <sz val="9"/>
            <rFont val="Tahoma"/>
          </rPr>
          <t xml:space="preserve">
22020/02 -20.843
</t>
        </r>
      </text>
    </comment>
    <comment ref="D247" authorId="96" shapeId="0">
      <text>
        <r>
          <rPr>
            <b/>
            <sz val="9"/>
            <rFont val="Tahoma"/>
          </rPr>
          <t>Jana Holíková:</t>
        </r>
        <r>
          <rPr>
            <sz val="9"/>
            <rFont val="Tahoma"/>
          </rPr>
          <t xml:space="preserve">
22106/07 +399.900
22212/12 -79.980
</t>
        </r>
      </text>
    </comment>
    <comment ref="D248" authorId="97" shapeId="0">
      <text>
        <r>
          <rPr>
            <b/>
            <sz val="9"/>
            <rFont val="Tahoma"/>
          </rPr>
          <t>Jana Holíková:</t>
        </r>
        <r>
          <rPr>
            <sz val="9"/>
            <rFont val="Tahoma"/>
          </rPr>
          <t xml:space="preserve">
22064/04 +156.000
</t>
        </r>
      </text>
    </comment>
    <comment ref="D249" authorId="98" shapeId="0">
      <text>
        <r>
          <rPr>
            <b/>
            <sz val="9"/>
            <rFont val="Tahoma"/>
          </rPr>
          <t>Jana:</t>
        </r>
        <r>
          <rPr>
            <sz val="9"/>
            <rFont val="Tahoma"/>
          </rPr>
          <t xml:space="preserve">
22095/06 -3,89
22158/10 +848.400
22199/11 opr úz z 720 na 711
22219/12 +848.400+811.464 (část NIV)
</t>
        </r>
      </text>
    </comment>
    <comment ref="D251" authorId="99" shapeId="0">
      <text>
        <r>
          <rPr>
            <b/>
            <sz val="9"/>
            <rFont val="Tahoma"/>
          </rPr>
          <t>Jana Holíková:</t>
        </r>
        <r>
          <rPr>
            <sz val="9"/>
            <rFont val="Tahoma"/>
          </rPr>
          <t xml:space="preserve">
22159/10 +230.320
22209/12 změna úz na 711
</t>
        </r>
      </text>
    </comment>
    <comment ref="D256" authorId="100" shapeId="0">
      <text>
        <r>
          <rPr>
            <b/>
            <sz val="9"/>
            <rFont val="Tahoma"/>
          </rPr>
          <t>Jana Holíková:</t>
        </r>
        <r>
          <rPr>
            <sz val="9"/>
            <rFont val="Tahoma"/>
          </rPr>
          <t xml:space="preserve">
22033/03 +14.153.127,85
22077/06 -7.250.000
22085/06 +50.000.000
22131/09 +693.000
</t>
        </r>
      </text>
    </comment>
    <comment ref="D257" authorId="101" shapeId="0">
      <text>
        <r>
          <rPr>
            <b/>
            <sz val="9"/>
            <rFont val="Tahoma"/>
          </rPr>
          <t>Jana Holíková:</t>
        </r>
        <r>
          <rPr>
            <sz val="9"/>
            <rFont val="Tahoma"/>
          </rPr>
          <t xml:space="preserve">
22018/02 +2.000.000
22033/03 +18.116.515,46
</t>
        </r>
      </text>
    </comment>
    <comment ref="D264" authorId="102" shapeId="0">
      <text>
        <r>
          <rPr>
            <b/>
            <sz val="9"/>
            <rFont val="Tahoma"/>
          </rPr>
          <t>Jana Holíková:</t>
        </r>
        <r>
          <rPr>
            <sz val="9"/>
            <rFont val="Tahoma"/>
          </rPr>
          <t xml:space="preserve">
22085/06 -50.000.000
</t>
        </r>
      </text>
    </comment>
    <comment ref="D272" authorId="103" shapeId="0">
      <text>
        <r>
          <rPr>
            <b/>
            <sz val="9"/>
            <rFont val="Tahoma"/>
          </rPr>
          <t>Jana Holíková:</t>
        </r>
        <r>
          <rPr>
            <sz val="9"/>
            <rFont val="Tahoma"/>
          </rPr>
          <t xml:space="preserve">
22578.08 +50.000
22622.10 +27.886,40
</t>
        </r>
      </text>
    </comment>
    <comment ref="D273" authorId="104" shapeId="0">
      <text>
        <r>
          <rPr>
            <b/>
            <sz val="9"/>
            <rFont val="Tahoma"/>
          </rPr>
          <t>Jana Holíková:</t>
        </r>
        <r>
          <rPr>
            <sz val="9"/>
            <rFont val="Tahoma"/>
          </rPr>
          <t xml:space="preserve">
22578.08 -50.000
22622.10 -27.886,40
</t>
        </r>
      </text>
    </comment>
    <comment ref="D277" authorId="105" shapeId="0">
      <text>
        <r>
          <rPr>
            <b/>
            <sz val="9"/>
            <rFont val="Tahoma"/>
          </rPr>
          <t>Jana Holíková:</t>
        </r>
        <r>
          <rPr>
            <sz val="9"/>
            <rFont val="Tahoma"/>
          </rPr>
          <t xml:space="preserve">
22069/05 +1.032.263,32
</t>
        </r>
      </text>
    </comment>
    <comment ref="D285" authorId="106" shapeId="0">
      <text>
        <r>
          <rPr>
            <b/>
            <sz val="9"/>
            <rFont val="Tahoma"/>
          </rPr>
          <t>Jana Holíková:</t>
        </r>
        <r>
          <rPr>
            <sz val="9"/>
            <rFont val="Tahoma"/>
          </rPr>
          <t xml:space="preserve">
22067/05 +200.000
22094/06 +100.000
</t>
        </r>
      </text>
    </comment>
    <comment ref="D286" authorId="107" shapeId="0">
      <text>
        <r>
          <rPr>
            <b/>
            <sz val="9"/>
            <rFont val="Tahoma"/>
          </rPr>
          <t>Jana Holíková:</t>
        </r>
        <r>
          <rPr>
            <sz val="9"/>
            <rFont val="Tahoma"/>
          </rPr>
          <t xml:space="preserve">
22178/11 -1.200.000
</t>
        </r>
      </text>
    </comment>
    <comment ref="D287" authorId="108" shapeId="0">
      <text>
        <r>
          <rPr>
            <b/>
            <sz val="9"/>
            <rFont val="Tahoma"/>
          </rPr>
          <t>Jana Holíková:</t>
        </r>
        <r>
          <rPr>
            <sz val="9"/>
            <rFont val="Tahoma"/>
          </rPr>
          <t xml:space="preserve">
22022/02 
--62.863 VPP
-493.612 (údrž.MK+vodor.znač)
22178/11 -2.500.000
22205/12 +1.700.000
</t>
        </r>
      </text>
    </comment>
    <comment ref="D288" authorId="109" shapeId="0">
      <text>
        <r>
          <rPr>
            <b/>
            <sz val="9"/>
            <rFont val="Tahoma"/>
          </rPr>
          <t>Jana Holíková:</t>
        </r>
        <r>
          <rPr>
            <sz val="9"/>
            <rFont val="Tahoma"/>
          </rPr>
          <t xml:space="preserve">
22569.07 +100.000
22594/09 +100.000
22144/10 opr.22144/05
22150/10 +2.803
22614/10 +100.000
22615/10 +300.000
22163/11 +27.605 poj.pl.
</t>
        </r>
      </text>
    </comment>
    <comment ref="D289" authorId="110" shapeId="0">
      <text>
        <r>
          <rPr>
            <b/>
            <sz val="9"/>
            <rFont val="Tahoma"/>
          </rPr>
          <t>Jana Holíková:</t>
        </r>
        <r>
          <rPr>
            <sz val="9"/>
            <rFont val="Tahoma"/>
          </rPr>
          <t xml:space="preserve">
22077/06 -500.000 pasport kom
22569.07 -100.000
22594/09 -100.000
22614/10 -100.000
22615/10 -300.000
</t>
        </r>
      </text>
    </comment>
    <comment ref="D293" authorId="111" shapeId="0">
      <text>
        <r>
          <rPr>
            <b/>
            <sz val="9"/>
            <rFont val="Tahoma"/>
          </rPr>
          <t>Jana Holíková:</t>
        </r>
        <r>
          <rPr>
            <sz val="9"/>
            <rFont val="Tahoma"/>
          </rPr>
          <t xml:space="preserve">
22067/05 +700.000
22148/10 -151.000
</t>
        </r>
      </text>
    </comment>
    <comment ref="D294" authorId="112" shapeId="0">
      <text>
        <r>
          <rPr>
            <b/>
            <sz val="9"/>
            <rFont val="Tahoma"/>
          </rPr>
          <t>Jana Holíková:</t>
        </r>
        <r>
          <rPr>
            <sz val="9"/>
            <rFont val="Tahoma"/>
          </rPr>
          <t xml:space="preserve">
22067/05 +930.000
</t>
        </r>
      </text>
    </comment>
    <comment ref="D295" authorId="113" shapeId="0">
      <text>
        <r>
          <rPr>
            <b/>
            <sz val="9"/>
            <rFont val="Tahoma"/>
          </rPr>
          <t>Jana Holíková:</t>
        </r>
        <r>
          <rPr>
            <sz val="9"/>
            <rFont val="Tahoma"/>
          </rPr>
          <t xml:space="preserve">
22052/04 +200.000
</t>
        </r>
      </text>
    </comment>
    <comment ref="D296" authorId="114" shapeId="0">
      <text>
        <r>
          <rPr>
            <b/>
            <sz val="9"/>
            <rFont val="Tahoma"/>
          </rPr>
          <t>Jana Holíková:</t>
        </r>
        <r>
          <rPr>
            <sz val="9"/>
            <rFont val="Tahoma"/>
          </rPr>
          <t xml:space="preserve">
22093/06 +71.000
22178/11 -8.365,39
</t>
        </r>
      </text>
    </comment>
    <comment ref="D297" authorId="115" shapeId="0">
      <text>
        <r>
          <rPr>
            <b/>
            <sz val="9"/>
            <rFont val="Tahoma"/>
          </rPr>
          <t>Jana Holíková:</t>
        </r>
        <r>
          <rPr>
            <sz val="9"/>
            <rFont val="Tahoma"/>
          </rPr>
          <t xml:space="preserve">
22142/09 +595.005,27
</t>
        </r>
      </text>
    </comment>
    <comment ref="D299" authorId="116" shapeId="0">
      <text>
        <r>
          <rPr>
            <b/>
            <sz val="9"/>
            <rFont val="Tahoma"/>
          </rPr>
          <t>Jana Holíková:</t>
        </r>
        <r>
          <rPr>
            <sz val="9"/>
            <rFont val="Tahoma"/>
          </rPr>
          <t xml:space="preserve">
22643/11 -50.000
</t>
        </r>
      </text>
    </comment>
    <comment ref="D300" authorId="117" shapeId="0">
      <text>
        <r>
          <rPr>
            <b/>
            <sz val="9"/>
            <rFont val="Tahoma"/>
          </rPr>
          <t>Jana Holíková:</t>
        </r>
        <r>
          <rPr>
            <sz val="9"/>
            <rFont val="Tahoma"/>
          </rPr>
          <t xml:space="preserve">
22148/10 +44.000
22643/11 +50.000
</t>
        </r>
      </text>
    </comment>
    <comment ref="D303" authorId="118" shapeId="0">
      <text>
        <r>
          <rPr>
            <b/>
            <sz val="9"/>
            <rFont val="Tahoma"/>
          </rPr>
          <t>Jana Holíková:</t>
        </r>
        <r>
          <rPr>
            <sz val="9"/>
            <rFont val="Tahoma"/>
          </rPr>
          <t xml:space="preserve">
22591/09 +60.000
</t>
        </r>
      </text>
    </comment>
    <comment ref="D304" authorId="119" shapeId="0">
      <text>
        <r>
          <rPr>
            <b/>
            <sz val="9"/>
            <rFont val="Tahoma"/>
          </rPr>
          <t>Jana Holíková:</t>
        </r>
        <r>
          <rPr>
            <sz val="9"/>
            <rFont val="Tahoma"/>
          </rPr>
          <t xml:space="preserve">
22591/09 -60.000
</t>
        </r>
      </text>
    </comment>
    <comment ref="D305" authorId="120" shapeId="0">
      <text>
        <r>
          <rPr>
            <b/>
            <sz val="9"/>
            <rFont val="Tahoma"/>
          </rPr>
          <t>Jana Holíková:</t>
        </r>
        <r>
          <rPr>
            <sz val="9"/>
            <rFont val="Tahoma"/>
          </rPr>
          <t xml:space="preserve">
22148/10 +107.000
</t>
        </r>
      </text>
    </comment>
    <comment ref="D308" authorId="121" shapeId="0">
      <text>
        <r>
          <rPr>
            <b/>
            <sz val="9"/>
            <rFont val="Tahoma"/>
          </rPr>
          <t>Jana Holíková:</t>
        </r>
        <r>
          <rPr>
            <sz val="9"/>
            <rFont val="Tahoma"/>
          </rPr>
          <t xml:space="preserve">
22077/06 -8.500.000
22550/06 +17.250
22100/07 +100.000
</t>
        </r>
      </text>
    </comment>
    <comment ref="D313" authorId="122" shapeId="0">
      <text>
        <r>
          <rPr>
            <b/>
            <sz val="9"/>
            <rFont val="Tahoma"/>
          </rPr>
          <t>Jana:</t>
        </r>
        <r>
          <rPr>
            <sz val="9"/>
            <rFont val="Tahoma"/>
          </rPr>
          <t xml:space="preserve">
22550/09 -17.250
22592/09 -7.221
</t>
        </r>
      </text>
    </comment>
    <comment ref="D315" authorId="123" shapeId="0">
      <text>
        <r>
          <rPr>
            <b/>
            <sz val="9"/>
            <rFont val="Tahoma"/>
          </rPr>
          <t>Jana Holíková:</t>
        </r>
        <r>
          <rPr>
            <sz val="9"/>
            <rFont val="Tahoma"/>
          </rPr>
          <t xml:space="preserve">
22592/09 +7.221
</t>
        </r>
      </text>
    </comment>
    <comment ref="D318" authorId="124" shapeId="0">
      <text>
        <r>
          <rPr>
            <b/>
            <sz val="9"/>
            <rFont val="Tahoma"/>
          </rPr>
          <t>Jana Holíková:</t>
        </r>
        <r>
          <rPr>
            <sz val="9"/>
            <rFont val="Tahoma"/>
          </rPr>
          <t xml:space="preserve">
22208/12 +53.912
22215/12 +54.000
</t>
        </r>
      </text>
    </comment>
    <comment ref="D321" authorId="125" shapeId="0">
      <text>
        <r>
          <rPr>
            <b/>
            <sz val="9"/>
            <rFont val="Tahoma"/>
          </rPr>
          <t>Jana Holíková:</t>
        </r>
        <r>
          <rPr>
            <sz val="9"/>
            <rFont val="Tahoma"/>
          </rPr>
          <t xml:space="preserve">
22178/11 -50.000
</t>
        </r>
      </text>
    </comment>
    <comment ref="D322" authorId="126" shapeId="0">
      <text>
        <r>
          <rPr>
            <b/>
            <sz val="9"/>
            <rFont val="Tahoma"/>
          </rPr>
          <t>Jana Holíková:</t>
        </r>
        <r>
          <rPr>
            <sz val="9"/>
            <rFont val="Tahoma"/>
          </rPr>
          <t xml:space="preserve">
22508.02 -60.306
22148/10 -350.000
</t>
        </r>
      </text>
    </comment>
    <comment ref="D324" authorId="127" shapeId="0">
      <text>
        <r>
          <rPr>
            <b/>
            <sz val="9"/>
            <rFont val="Tahoma"/>
          </rPr>
          <t>Jana Holíková:</t>
        </r>
        <r>
          <rPr>
            <sz val="9"/>
            <rFont val="Tahoma"/>
          </rPr>
          <t xml:space="preserve">
22616/10 -38.393,30
</t>
        </r>
      </text>
    </comment>
    <comment ref="D325" authorId="128" shapeId="0">
      <text>
        <r>
          <rPr>
            <b/>
            <sz val="9"/>
            <rFont val="Tahoma"/>
          </rPr>
          <t>Jana Holíková:</t>
        </r>
        <r>
          <rPr>
            <sz val="9"/>
            <rFont val="Tahoma"/>
          </rPr>
          <t xml:space="preserve">
22148/10 +750.000
</t>
        </r>
      </text>
    </comment>
    <comment ref="D326" authorId="129" shapeId="0">
      <text>
        <r>
          <rPr>
            <b/>
            <sz val="9"/>
            <rFont val="Tahoma"/>
          </rPr>
          <t>Jana Holíková:</t>
        </r>
        <r>
          <rPr>
            <sz val="9"/>
            <rFont val="Tahoma"/>
          </rPr>
          <t xml:space="preserve">
22508.02 +60.306
</t>
        </r>
      </text>
    </comment>
    <comment ref="D327" authorId="130" shapeId="0">
      <text>
        <r>
          <rPr>
            <b/>
            <sz val="9"/>
            <rFont val="Tahoma"/>
          </rPr>
          <t>Jana Holíková:</t>
        </r>
        <r>
          <rPr>
            <sz val="9"/>
            <rFont val="Tahoma"/>
          </rPr>
          <t xml:space="preserve">
22616.10 +38.393,30
</t>
        </r>
      </text>
    </comment>
    <comment ref="D329" authorId="131" shapeId="0">
      <text>
        <r>
          <rPr>
            <b/>
            <sz val="9"/>
            <rFont val="Tahoma"/>
          </rPr>
          <t>Jana Holíková:</t>
        </r>
        <r>
          <rPr>
            <sz val="9"/>
            <rFont val="Tahoma"/>
          </rPr>
          <t xml:space="preserve">
22067/05 +300.000
</t>
        </r>
      </text>
    </comment>
    <comment ref="D330" authorId="132" shapeId="0">
      <text>
        <r>
          <rPr>
            <b/>
            <sz val="9"/>
            <rFont val="Tahoma"/>
          </rPr>
          <t>Jana Holíková:</t>
        </r>
        <r>
          <rPr>
            <sz val="9"/>
            <rFont val="Tahoma"/>
          </rPr>
          <t xml:space="preserve">
22636/11 -3.286,86
</t>
        </r>
      </text>
    </comment>
    <comment ref="D331" authorId="133" shapeId="0">
      <text>
        <r>
          <rPr>
            <b/>
            <sz val="9"/>
            <rFont val="Tahoma"/>
          </rPr>
          <t>Jana Holíková:</t>
        </r>
        <r>
          <rPr>
            <sz val="9"/>
            <rFont val="Tahoma"/>
          </rPr>
          <t xml:space="preserve">
22542/05 +10.000
22636/11 +3.286,86
</t>
        </r>
      </text>
    </comment>
    <comment ref="D334" authorId="134" shapeId="0">
      <text>
        <r>
          <rPr>
            <b/>
            <sz val="9"/>
            <rFont val="Tahoma"/>
          </rPr>
          <t>Jana Holíková:</t>
        </r>
        <r>
          <rPr>
            <sz val="9"/>
            <rFont val="Tahoma"/>
          </rPr>
          <t xml:space="preserve">
22542/05 -10.000
22215/12 -54.000
</t>
        </r>
      </text>
    </comment>
    <comment ref="D338" authorId="135" shapeId="0">
      <text>
        <r>
          <rPr>
            <b/>
            <sz val="9"/>
            <rFont val="Tahoma"/>
          </rPr>
          <t>Jana Holíková:</t>
        </r>
        <r>
          <rPr>
            <sz val="9"/>
            <rFont val="Tahoma"/>
          </rPr>
          <t xml:space="preserve">
22067/05 -80.000
</t>
        </r>
      </text>
    </comment>
    <comment ref="D339" authorId="136" shapeId="0">
      <text>
        <r>
          <rPr>
            <b/>
            <sz val="9"/>
            <rFont val="Tahoma"/>
          </rPr>
          <t>Jana Holíková:</t>
        </r>
        <r>
          <rPr>
            <sz val="9"/>
            <rFont val="Tahoma"/>
          </rPr>
          <t xml:space="preserve">
22067/05 +50.000
</t>
        </r>
      </text>
    </comment>
    <comment ref="D340" authorId="137" shapeId="0">
      <text>
        <r>
          <rPr>
            <b/>
            <sz val="9"/>
            <rFont val="Tahoma"/>
          </rPr>
          <t>Jana Holíková:</t>
        </r>
        <r>
          <rPr>
            <sz val="9"/>
            <rFont val="Tahoma"/>
          </rPr>
          <t xml:space="preserve">
22067/05 +60.000
</t>
        </r>
      </text>
    </comment>
    <comment ref="D341" authorId="138" shapeId="0">
      <text>
        <r>
          <rPr>
            <b/>
            <sz val="9"/>
            <rFont val="Tahoma"/>
          </rPr>
          <t>Jana Holíková:</t>
        </r>
        <r>
          <rPr>
            <sz val="9"/>
            <rFont val="Tahoma"/>
          </rPr>
          <t xml:space="preserve">
22067/05 +450.000
22148/10 -400.000
</t>
        </r>
      </text>
    </comment>
    <comment ref="D342" authorId="139" shapeId="0">
      <text>
        <r>
          <rPr>
            <b/>
            <sz val="9"/>
            <rFont val="Tahoma"/>
          </rPr>
          <t>Jana Holíková:</t>
        </r>
        <r>
          <rPr>
            <sz val="9"/>
            <rFont val="Tahoma"/>
          </rPr>
          <t xml:space="preserve">
22022/02 -80.695
22178/11 -300.000
</t>
        </r>
      </text>
    </comment>
    <comment ref="D344" authorId="140" shapeId="0">
      <text>
        <r>
          <rPr>
            <b/>
            <sz val="9"/>
            <rFont val="Tahoma"/>
          </rPr>
          <t>Jana Holíková:</t>
        </r>
        <r>
          <rPr>
            <sz val="9"/>
            <rFont val="Tahoma"/>
          </rPr>
          <t xml:space="preserve">
22077/06 +1.750.000
22151/10 -447.700
</t>
        </r>
      </text>
    </comment>
    <comment ref="D345" authorId="141" shapeId="0">
      <text>
        <r>
          <rPr>
            <b/>
            <sz val="9"/>
            <rFont val="Tahoma"/>
          </rPr>
          <t>Jana Holíková:</t>
        </r>
        <r>
          <rPr>
            <sz val="9"/>
            <rFont val="Tahoma"/>
          </rPr>
          <t xml:space="preserve">
22150/10 +42.937
</t>
        </r>
      </text>
    </comment>
    <comment ref="D349" authorId="142" shapeId="0">
      <text>
        <r>
          <rPr>
            <b/>
            <sz val="9"/>
            <rFont val="Tahoma"/>
          </rPr>
          <t>Jana Holíková:</t>
        </r>
        <r>
          <rPr>
            <sz val="9"/>
            <rFont val="Tahoma"/>
          </rPr>
          <t xml:space="preserve">
22120/08 +93.170
22134/09 -367.500
</t>
        </r>
      </text>
    </comment>
    <comment ref="D350" authorId="143" shapeId="0">
      <text>
        <r>
          <rPr>
            <b/>
            <sz val="9"/>
            <rFont val="Tahoma"/>
          </rPr>
          <t>Jana Holíková:</t>
        </r>
        <r>
          <rPr>
            <sz val="9"/>
            <rFont val="Tahoma"/>
          </rPr>
          <t xml:space="preserve">
22054/04 -450.000 tsm
</t>
        </r>
      </text>
    </comment>
    <comment ref="D351" authorId="144" shapeId="0">
      <text>
        <r>
          <rPr>
            <b/>
            <sz val="9"/>
            <rFont val="Tahoma"/>
          </rPr>
          <t>Jana Holíková:</t>
        </r>
        <r>
          <rPr>
            <sz val="9"/>
            <rFont val="Tahoma"/>
          </rPr>
          <t xml:space="preserve">
22054/04 -300.000 tsm
</t>
        </r>
      </text>
    </comment>
    <comment ref="D352" authorId="145" shapeId="0">
      <text>
        <r>
          <rPr>
            <b/>
            <sz val="9"/>
            <rFont val="Tahoma"/>
          </rPr>
          <t>Jana Holíková:</t>
        </r>
        <r>
          <rPr>
            <sz val="9"/>
            <rFont val="Tahoma"/>
          </rPr>
          <t xml:space="preserve">
22022/02 -130.039
22178/11 -100.000
</t>
        </r>
      </text>
    </comment>
    <comment ref="D355" authorId="146" shapeId="0">
      <text>
        <r>
          <rPr>
            <b/>
            <sz val="9"/>
            <rFont val="Tahoma"/>
          </rPr>
          <t>Jana Holíková:</t>
        </r>
        <r>
          <rPr>
            <sz val="9"/>
            <rFont val="Tahoma"/>
          </rPr>
          <t xml:space="preserve">
22001/01 +425.000
</t>
        </r>
      </text>
    </comment>
    <comment ref="D357" authorId="147" shapeId="0">
      <text>
        <r>
          <rPr>
            <b/>
            <sz val="9"/>
            <rFont val="Tahoma"/>
          </rPr>
          <t>Jana Holíková:</t>
        </r>
        <r>
          <rPr>
            <sz val="9"/>
            <rFont val="Tahoma"/>
          </rPr>
          <t xml:space="preserve">
22577/08 +344,61
</t>
        </r>
      </text>
    </comment>
    <comment ref="D358" authorId="148" shapeId="0">
      <text>
        <r>
          <rPr>
            <b/>
            <sz val="9"/>
            <rFont val="Tahoma"/>
          </rPr>
          <t>Jana Holíková:</t>
        </r>
        <r>
          <rPr>
            <sz val="9"/>
            <rFont val="Tahoma"/>
          </rPr>
          <t xml:space="preserve">
22577/08 -344,61
</t>
        </r>
      </text>
    </comment>
    <comment ref="D361" authorId="149" shapeId="0">
      <text>
        <r>
          <rPr>
            <b/>
            <sz val="9"/>
            <rFont val="Tahoma"/>
          </rPr>
          <t>Jana Holíková:</t>
        </r>
        <r>
          <rPr>
            <sz val="9"/>
            <rFont val="Tahoma"/>
          </rPr>
          <t xml:space="preserve">
22119/08 -8.740
</t>
        </r>
      </text>
    </comment>
    <comment ref="D368" authorId="150" shapeId="0">
      <text>
        <r>
          <rPr>
            <b/>
            <sz val="9"/>
            <rFont val="Tahoma"/>
          </rPr>
          <t>Jana:</t>
        </r>
        <r>
          <rPr>
            <sz val="9"/>
            <rFont val="Tahoma"/>
          </rPr>
          <t xml:space="preserve">
22094/06 +142.00022148/10 +300.000
</t>
        </r>
      </text>
    </comment>
    <comment ref="D370" authorId="151" shapeId="0">
      <text>
        <r>
          <rPr>
            <b/>
            <sz val="9"/>
            <rFont val="Tahoma"/>
          </rPr>
          <t>Jana Holíková:</t>
        </r>
        <r>
          <rPr>
            <sz val="9"/>
            <rFont val="Tahoma"/>
          </rPr>
          <t xml:space="preserve">
22507.02 -138.000
22520/04 +20.000
22094/06 -142.000
22103/07 -500.000
22142/09 -400.000
</t>
        </r>
      </text>
    </comment>
    <comment ref="D372" authorId="152" shapeId="0">
      <text>
        <r>
          <rPr>
            <b/>
            <sz val="9"/>
            <rFont val="Tahoma"/>
          </rPr>
          <t>Jana Holíková:</t>
        </r>
        <r>
          <rPr>
            <sz val="9"/>
            <rFont val="Tahoma"/>
          </rPr>
          <t xml:space="preserve">
22507.02 +138.000
22520/04 +20.000
</t>
        </r>
      </text>
    </comment>
    <comment ref="D376" authorId="153" shapeId="0">
      <text>
        <r>
          <rPr>
            <b/>
            <sz val="9"/>
            <rFont val="Tahoma"/>
          </rPr>
          <t>Jana Holíková:</t>
        </r>
        <r>
          <rPr>
            <sz val="9"/>
            <rFont val="Tahoma"/>
          </rPr>
          <t xml:space="preserve">
22524/04 -12.000
</t>
        </r>
      </text>
    </comment>
    <comment ref="D377" authorId="154" shapeId="0">
      <text>
        <r>
          <rPr>
            <b/>
            <sz val="9"/>
            <rFont val="Tahoma"/>
          </rPr>
          <t>Jana Holíková:</t>
        </r>
        <r>
          <rPr>
            <sz val="9"/>
            <rFont val="Tahoma"/>
          </rPr>
          <t xml:space="preserve">
22516.03 +400.000
22580.08 -150.000
22631/11 -380.000
22641/11 -1.310.000
</t>
        </r>
      </text>
    </comment>
    <comment ref="D378" authorId="155" shapeId="0">
      <text>
        <r>
          <rPr>
            <b/>
            <sz val="9"/>
            <rFont val="Tahoma"/>
          </rPr>
          <t>Jana Holíková:</t>
        </r>
        <r>
          <rPr>
            <sz val="9"/>
            <rFont val="Tahoma"/>
          </rPr>
          <t xml:space="preserve">
22058/04 +4.500.000
22537/05 +350.000
22631/11 +380.000
</t>
        </r>
      </text>
    </comment>
    <comment ref="D379" authorId="156" shapeId="0">
      <text>
        <r>
          <rPr>
            <b/>
            <sz val="9"/>
            <rFont val="Tahoma"/>
          </rPr>
          <t>Jana Holíková:</t>
        </r>
        <r>
          <rPr>
            <sz val="9"/>
            <rFont val="Tahoma"/>
          </rPr>
          <t xml:space="preserve">
22516.03 +400.000
22624.10 +165.000
</t>
        </r>
      </text>
    </comment>
    <comment ref="D381" authorId="157" shapeId="0">
      <text>
        <r>
          <rPr>
            <b/>
            <sz val="9"/>
            <rFont val="Tahoma"/>
          </rPr>
          <t>Jana Holíková:</t>
        </r>
        <r>
          <rPr>
            <sz val="9"/>
            <rFont val="Tahoma"/>
          </rPr>
          <t xml:space="preserve">
22533/05 +150.000
22641/11 +1.310.000
</t>
        </r>
      </text>
    </comment>
    <comment ref="D382" authorId="158" shapeId="0">
      <text>
        <r>
          <rPr>
            <b/>
            <sz val="9"/>
            <rFont val="Tahoma"/>
          </rPr>
          <t>Jana Holíková:</t>
        </r>
        <r>
          <rPr>
            <sz val="9"/>
            <rFont val="Tahoma"/>
          </rPr>
          <t xml:space="preserve">
22067/05 -200.000
22533/05 -150.000
22537/05 -350.000
</t>
        </r>
      </text>
    </comment>
    <comment ref="D383" authorId="159" shapeId="0">
      <text>
        <r>
          <rPr>
            <b/>
            <sz val="9"/>
            <rFont val="Tahoma"/>
          </rPr>
          <t>Jana Holíková:</t>
        </r>
        <r>
          <rPr>
            <sz val="9"/>
            <rFont val="Tahoma"/>
          </rPr>
          <t xml:space="preserve">
22142/09 -500.000
</t>
        </r>
      </text>
    </comment>
    <comment ref="D384" authorId="160" shapeId="0">
      <text>
        <r>
          <rPr>
            <b/>
            <sz val="9"/>
            <rFont val="Tahoma"/>
          </rPr>
          <t>Jana Holíková:</t>
        </r>
        <r>
          <rPr>
            <sz val="9"/>
            <rFont val="Tahoma"/>
          </rPr>
          <t xml:space="preserve">
22077/06 -700.000
</t>
        </r>
      </text>
    </comment>
    <comment ref="D385" authorId="161" shapeId="0">
      <text>
        <r>
          <rPr>
            <b/>
            <sz val="9"/>
            <rFont val="Tahoma"/>
          </rPr>
          <t>Jana Holíková:</t>
        </r>
        <r>
          <rPr>
            <sz val="9"/>
            <rFont val="Tahoma"/>
          </rPr>
          <t xml:space="preserve">
22114/08 +900.000
</t>
        </r>
      </text>
    </comment>
    <comment ref="D386" authorId="162" shapeId="0">
      <text>
        <r>
          <rPr>
            <b/>
            <sz val="9"/>
            <rFont val="Tahoma"/>
          </rPr>
          <t>Jana Holíková:</t>
        </r>
        <r>
          <rPr>
            <sz val="9"/>
            <rFont val="Tahoma"/>
          </rPr>
          <t xml:space="preserve">
22580.08 +150.000
</t>
        </r>
      </text>
    </comment>
    <comment ref="D387" authorId="163" shapeId="0">
      <text>
        <r>
          <rPr>
            <b/>
            <sz val="9"/>
            <rFont val="Tahoma"/>
          </rPr>
          <t>Jana Holíková:</t>
        </r>
        <r>
          <rPr>
            <sz val="9"/>
            <rFont val="Tahoma"/>
          </rPr>
          <t xml:space="preserve">
22524/04 +12.000
22624.10 -165.000
</t>
        </r>
      </text>
    </comment>
    <comment ref="D390" authorId="164" shapeId="0">
      <text>
        <r>
          <rPr>
            <b/>
            <sz val="9"/>
            <rFont val="Tahoma"/>
          </rPr>
          <t>Jana Holíková:</t>
        </r>
        <r>
          <rPr>
            <sz val="9"/>
            <rFont val="Tahoma"/>
          </rPr>
          <t xml:space="preserve">
22523/04 -200.000
</t>
        </r>
      </text>
    </comment>
    <comment ref="D391" authorId="165" shapeId="0">
      <text>
        <r>
          <rPr>
            <b/>
            <sz val="9"/>
            <rFont val="Tahoma"/>
          </rPr>
          <t>Jana Holíková:</t>
        </r>
        <r>
          <rPr>
            <sz val="9"/>
            <rFont val="Tahoma"/>
          </rPr>
          <t xml:space="preserve">
22516.03 +800.000
22525/04 -100.000
22051/05 -300.000 -300.000
</t>
        </r>
      </text>
    </comment>
    <comment ref="D393" authorId="166" shapeId="0">
      <text>
        <r>
          <rPr>
            <b/>
            <sz val="9"/>
            <rFont val="Tahoma"/>
          </rPr>
          <t>Jana Holíková:</t>
        </r>
        <r>
          <rPr>
            <sz val="9"/>
            <rFont val="Tahoma"/>
          </rPr>
          <t xml:space="preserve">
22503.01  -54.450
22077/06 -500.000
</t>
        </r>
      </text>
    </comment>
    <comment ref="D394" authorId="167" shapeId="0">
      <text>
        <r>
          <rPr>
            <b/>
            <sz val="9"/>
            <rFont val="Tahoma"/>
          </rPr>
          <t>Jana Holíková:</t>
        </r>
        <r>
          <rPr>
            <sz val="9"/>
            <rFont val="Tahoma"/>
          </rPr>
          <t xml:space="preserve">
22067/05 -700.000
</t>
        </r>
      </text>
    </comment>
    <comment ref="D395" authorId="168" shapeId="0">
      <text>
        <r>
          <rPr>
            <b/>
            <sz val="9"/>
            <rFont val="Tahoma"/>
          </rPr>
          <t>Jana Holíková:</t>
        </r>
        <r>
          <rPr>
            <sz val="9"/>
            <rFont val="Tahoma"/>
          </rPr>
          <t xml:space="preserve">
22597/09 +133.705
</t>
        </r>
      </text>
    </comment>
    <comment ref="D396" authorId="169" shapeId="0">
      <text>
        <r>
          <rPr>
            <b/>
            <sz val="9"/>
            <rFont val="Tahoma"/>
          </rPr>
          <t>Jana Holíková:</t>
        </r>
        <r>
          <rPr>
            <sz val="9"/>
            <rFont val="Tahoma"/>
          </rPr>
          <t xml:space="preserve">
22073/05 +1.600.000
22612/10 -130.000
</t>
        </r>
      </text>
    </comment>
    <comment ref="D397" authorId="170" shapeId="0">
      <text>
        <r>
          <rPr>
            <b/>
            <sz val="9"/>
            <rFont val="Tahoma"/>
          </rPr>
          <t>Jana Holíková:</t>
        </r>
        <r>
          <rPr>
            <sz val="9"/>
            <rFont val="Tahoma"/>
          </rPr>
          <t xml:space="preserve">
22114/08 +2.000.000
</t>
        </r>
      </text>
    </comment>
    <comment ref="D398" authorId="171" shapeId="0">
      <text>
        <r>
          <rPr>
            <b/>
            <sz val="9"/>
            <rFont val="Tahoma"/>
          </rPr>
          <t>Jana Holíková:</t>
        </r>
        <r>
          <rPr>
            <sz val="9"/>
            <rFont val="Tahoma"/>
          </rPr>
          <t xml:space="preserve">
22516.03 +800.000
22525/04 +100.000
22548/06 úz náz
22549/06 náz
22612/10 +130.000
</t>
        </r>
      </text>
    </comment>
    <comment ref="D402" authorId="172" shapeId="0">
      <text>
        <r>
          <rPr>
            <b/>
            <sz val="9"/>
            <rFont val="Tahoma"/>
          </rPr>
          <t>Jana Holíková:</t>
        </r>
        <r>
          <rPr>
            <sz val="9"/>
            <rFont val="Tahoma"/>
          </rPr>
          <t xml:space="preserve">
22158/10 +848.400
22199/11 opr úz z 720 na 711
</t>
        </r>
      </text>
    </comment>
    <comment ref="D404" authorId="173" shapeId="0">
      <text>
        <r>
          <rPr>
            <b/>
            <sz val="9"/>
            <rFont val="Tahoma"/>
          </rPr>
          <t>Jana Holíková:</t>
        </r>
        <r>
          <rPr>
            <sz val="9"/>
            <rFont val="Tahoma"/>
          </rPr>
          <t xml:space="preserve">
22077/06 -1.000.000
22560/07 -96.000
</t>
        </r>
      </text>
    </comment>
    <comment ref="D405" authorId="174" shapeId="0">
      <text>
        <r>
          <rPr>
            <b/>
            <sz val="9"/>
            <rFont val="Tahoma"/>
          </rPr>
          <t>Jana Holíková:</t>
        </r>
        <r>
          <rPr>
            <sz val="9"/>
            <rFont val="Tahoma"/>
          </rPr>
          <t xml:space="preserve">
22502.01 +1.236,-
</t>
        </r>
      </text>
    </comment>
    <comment ref="D406" authorId="175" shapeId="0">
      <text>
        <r>
          <rPr>
            <b/>
            <sz val="9"/>
            <rFont val="Tahoma"/>
          </rPr>
          <t>Jana Holíková:</t>
        </r>
        <r>
          <rPr>
            <sz val="9"/>
            <rFont val="Tahoma"/>
          </rPr>
          <t xml:space="preserve">
22067/05 -930.000
</t>
        </r>
      </text>
    </comment>
    <comment ref="D407" authorId="176" shapeId="0">
      <text>
        <r>
          <rPr>
            <b/>
            <sz val="9"/>
            <rFont val="Tahoma"/>
          </rPr>
          <t>Jana Holíková:</t>
        </r>
        <r>
          <rPr>
            <sz val="9"/>
            <rFont val="Tahoma"/>
          </rPr>
          <t xml:space="preserve">
22501.01 +170,-
22560/07 +96.000
</t>
        </r>
      </text>
    </comment>
    <comment ref="D408" authorId="177" shapeId="0">
      <text>
        <r>
          <rPr>
            <b/>
            <sz val="9"/>
            <rFont val="Tahoma"/>
          </rPr>
          <t>Jana Holíková:</t>
        </r>
        <r>
          <rPr>
            <sz val="9"/>
            <rFont val="Tahoma"/>
          </rPr>
          <t xml:space="preserve">
22501.01 -170,-
22502.01 -1.236,-
</t>
        </r>
      </text>
    </comment>
    <comment ref="D412" authorId="178" shapeId="0">
      <text>
        <r>
          <rPr>
            <b/>
            <sz val="9"/>
            <rFont val="Tahoma"/>
          </rPr>
          <t>Jana Holíková:</t>
        </r>
        <r>
          <rPr>
            <sz val="9"/>
            <rFont val="Tahoma"/>
          </rPr>
          <t xml:space="preserve">
22576/08 -57.770
</t>
        </r>
      </text>
    </comment>
    <comment ref="D414" authorId="179" shapeId="0">
      <text>
        <r>
          <rPr>
            <b/>
            <sz val="9"/>
            <rFont val="Tahoma"/>
          </rPr>
          <t>Jana Holíková:</t>
        </r>
        <r>
          <rPr>
            <sz val="9"/>
            <rFont val="Tahoma"/>
          </rPr>
          <t xml:space="preserve">
22077/06 -3.500.000
</t>
        </r>
      </text>
    </comment>
    <comment ref="D416" authorId="180" shapeId="0">
      <text>
        <r>
          <rPr>
            <b/>
            <sz val="9"/>
            <rFont val="Tahoma"/>
          </rPr>
          <t>Jana Holíková:</t>
        </r>
        <r>
          <rPr>
            <sz val="9"/>
            <rFont val="Tahoma"/>
          </rPr>
          <t xml:space="preserve">
22607/10 +42.350
</t>
        </r>
      </text>
    </comment>
    <comment ref="D417" authorId="181" shapeId="0">
      <text>
        <r>
          <rPr>
            <b/>
            <sz val="9"/>
            <rFont val="Tahoma"/>
          </rPr>
          <t>Jana Holíková:</t>
        </r>
        <r>
          <rPr>
            <sz val="9"/>
            <rFont val="Tahoma"/>
          </rPr>
          <t xml:space="preserve">
22142/09 -1.200.000
</t>
        </r>
      </text>
    </comment>
    <comment ref="D418" authorId="182" shapeId="0">
      <text>
        <r>
          <rPr>
            <b/>
            <sz val="9"/>
            <rFont val="Tahoma"/>
          </rPr>
          <t>Jana Holíková:</t>
        </r>
        <r>
          <rPr>
            <sz val="9"/>
            <rFont val="Tahoma"/>
          </rPr>
          <t xml:space="preserve">
22142/09 -250.000
</t>
        </r>
      </text>
    </comment>
    <comment ref="D419" authorId="183" shapeId="0">
      <text>
        <r>
          <rPr>
            <b/>
            <sz val="9"/>
            <rFont val="Tahoma"/>
          </rPr>
          <t>Jana Holíková:</t>
        </r>
        <r>
          <rPr>
            <sz val="9"/>
            <rFont val="Tahoma"/>
          </rPr>
          <t xml:space="preserve">
22142/09 -650.000
</t>
        </r>
      </text>
    </comment>
    <comment ref="D420" authorId="184" shapeId="0">
      <text>
        <r>
          <rPr>
            <b/>
            <sz val="9"/>
            <rFont val="Tahoma"/>
          </rPr>
          <t>Jana Holíková:</t>
        </r>
        <r>
          <rPr>
            <sz val="9"/>
            <rFont val="Tahoma"/>
          </rPr>
          <t xml:space="preserve">
22576/08 +57.770
</t>
        </r>
      </text>
    </comment>
    <comment ref="D422" authorId="185" shapeId="0">
      <text>
        <r>
          <rPr>
            <b/>
            <sz val="9"/>
            <rFont val="Tahoma"/>
          </rPr>
          <t>Jana:</t>
        </r>
        <r>
          <rPr>
            <sz val="9"/>
            <rFont val="Tahoma"/>
          </rPr>
          <t xml:space="preserve">
22094/06 -100.000
</t>
        </r>
      </text>
    </comment>
    <comment ref="D423" authorId="186" shapeId="0">
      <text>
        <r>
          <rPr>
            <b/>
            <sz val="9"/>
            <rFont val="Tahoma"/>
          </rPr>
          <t>Jana Holíková:</t>
        </r>
        <r>
          <rPr>
            <sz val="9"/>
            <rFont val="Tahoma"/>
          </rPr>
          <t xml:space="preserve">
22503.01  +54.450,-
</t>
        </r>
      </text>
    </comment>
    <comment ref="D424" authorId="187" shapeId="0">
      <text>
        <r>
          <rPr>
            <b/>
            <sz val="9"/>
            <rFont val="Tahoma"/>
          </rPr>
          <t>Jana Holíková:</t>
        </r>
        <r>
          <rPr>
            <sz val="9"/>
            <rFont val="Tahoma"/>
          </rPr>
          <t xml:space="preserve">
22052/04 -200.000
</t>
        </r>
      </text>
    </comment>
    <comment ref="D425" authorId="188" shapeId="0">
      <text>
        <r>
          <rPr>
            <b/>
            <sz val="9"/>
            <rFont val="Tahoma"/>
          </rPr>
          <t>Jana Holíková:</t>
        </r>
        <r>
          <rPr>
            <sz val="9"/>
            <rFont val="Tahoma"/>
          </rPr>
          <t xml:space="preserve">
22051/04 -300.000
22523/04 +200.000
22051/05 +300.000+300.000
22597/09 -133.705
22607/10 -42.350
</t>
        </r>
      </text>
    </comment>
    <comment ref="D427" authorId="189" shapeId="0">
      <text>
        <r>
          <rPr>
            <b/>
            <sz val="9"/>
            <rFont val="Tahoma"/>
          </rPr>
          <t>Jana Holíková:</t>
        </r>
        <r>
          <rPr>
            <sz val="9"/>
            <rFont val="Tahoma"/>
          </rPr>
          <t xml:space="preserve">
22051/04 +300.000
22525/04 +40.000
22051/05 +-300.000
22548/06 úz náz
22549/06 náz
22103/07 +500.000
</t>
        </r>
      </text>
    </comment>
    <comment ref="D429" authorId="190" shapeId="0">
      <text>
        <r>
          <rPr>
            <b/>
            <sz val="9"/>
            <rFont val="Tahoma"/>
          </rPr>
          <t>Jana Holíková:</t>
        </r>
        <r>
          <rPr>
            <sz val="9"/>
            <rFont val="Tahoma"/>
          </rPr>
          <t xml:space="preserve">
22503.01  +50.900,-
</t>
        </r>
      </text>
    </comment>
    <comment ref="D430" authorId="191" shapeId="0">
      <text>
        <r>
          <rPr>
            <b/>
            <sz val="9"/>
            <rFont val="Tahoma"/>
          </rPr>
          <t>Jana Holíková:</t>
        </r>
        <r>
          <rPr>
            <sz val="9"/>
            <rFont val="Tahoma"/>
          </rPr>
          <t xml:space="preserve">
22503.01  -50.900,-
22525/04  -40.000
</t>
        </r>
      </text>
    </comment>
    <comment ref="D433" authorId="192" shapeId="0">
      <text>
        <r>
          <rPr>
            <b/>
            <sz val="9"/>
            <rFont val="Tahoma"/>
          </rPr>
          <t>Jana Holíková:</t>
        </r>
        <r>
          <rPr>
            <sz val="9"/>
            <rFont val="Tahoma"/>
          </rPr>
          <t xml:space="preserve">
22024/02 +4.139.000
22059/04 +300.000
</t>
        </r>
      </text>
    </comment>
    <comment ref="D434" authorId="193" shapeId="0">
      <text>
        <r>
          <rPr>
            <b/>
            <sz val="9"/>
            <rFont val="Tahoma"/>
          </rPr>
          <t>Jana Holíková:</t>
        </r>
        <r>
          <rPr>
            <sz val="9"/>
            <rFont val="Tahoma"/>
          </rPr>
          <t xml:space="preserve">
22024/02 +4.139.000
22041/03 +257.000
</t>
        </r>
      </text>
    </comment>
    <comment ref="D435" authorId="194" shapeId="0">
      <text>
        <r>
          <rPr>
            <b/>
            <sz val="9"/>
            <rFont val="Tahoma"/>
          </rPr>
          <t>Jana Holíková:</t>
        </r>
        <r>
          <rPr>
            <sz val="9"/>
            <rFont val="Tahoma"/>
          </rPr>
          <t xml:space="preserve">
22024/02 +4.139.000
22041/03 +233.000
</t>
        </r>
      </text>
    </comment>
    <comment ref="D436" authorId="195" shapeId="0">
      <text>
        <r>
          <rPr>
            <b/>
            <sz val="9"/>
            <rFont val="Tahoma"/>
          </rPr>
          <t>Jana Holíková:</t>
        </r>
        <r>
          <rPr>
            <sz val="9"/>
            <rFont val="Tahoma"/>
          </rPr>
          <t xml:space="preserve">
22024/02 +4.139.000
22041/03 +194.000
</t>
        </r>
      </text>
    </comment>
    <comment ref="D437" authorId="196" shapeId="0">
      <text>
        <r>
          <rPr>
            <b/>
            <sz val="9"/>
            <rFont val="Tahoma"/>
          </rPr>
          <t>Jana Holíková:</t>
        </r>
        <r>
          <rPr>
            <sz val="9"/>
            <rFont val="Tahoma"/>
          </rPr>
          <t xml:space="preserve">
22024/02 +4.139.000
22041/03 +194.000
22042/03 +150.000
</t>
        </r>
      </text>
    </comment>
    <comment ref="D440" authorId="197" shapeId="0">
      <text>
        <r>
          <rPr>
            <b/>
            <sz val="9"/>
            <rFont val="Tahoma"/>
          </rPr>
          <t>Jana Holíková:</t>
        </r>
        <r>
          <rPr>
            <sz val="9"/>
            <rFont val="Tahoma"/>
          </rPr>
          <t xml:space="preserve">
22142/09 -200.000
</t>
        </r>
      </text>
    </comment>
    <comment ref="D445" authorId="198" shapeId="0">
      <text>
        <r>
          <rPr>
            <b/>
            <sz val="9"/>
            <rFont val="Tahoma"/>
          </rPr>
          <t>Jana Holíková:</t>
        </r>
        <r>
          <rPr>
            <sz val="9"/>
            <rFont val="Tahoma"/>
          </rPr>
          <t xml:space="preserve">
22099/07 -200.000 part
22142/09 -2.000.000
</t>
        </r>
      </text>
    </comment>
    <comment ref="D449" authorId="199" shapeId="0">
      <text>
        <r>
          <rPr>
            <b/>
            <sz val="9"/>
            <rFont val="Tahoma"/>
          </rPr>
          <t>Jana Holíková:</t>
        </r>
        <r>
          <rPr>
            <sz val="9"/>
            <rFont val="Tahoma"/>
          </rPr>
          <t xml:space="preserve">
22025/02 +5.319.000
22059/04 -300.000
22077/06 -4.000.000
22198/11 -1.000.000
22208/12 -19.000
</t>
        </r>
      </text>
    </comment>
    <comment ref="D451" authorId="200" shapeId="0">
      <text>
        <r>
          <rPr>
            <b/>
            <sz val="9"/>
            <rFont val="Tahoma"/>
          </rPr>
          <t>Jana Holíková:</t>
        </r>
        <r>
          <rPr>
            <sz val="9"/>
            <rFont val="Tahoma"/>
          </rPr>
          <t xml:space="preserve">
22026/02 +2.381.000
22581.08 -60.000
22147/10 -60.000
22198/11 -2.000.000
</t>
        </r>
      </text>
    </comment>
    <comment ref="D452" authorId="201" shapeId="0">
      <text>
        <r>
          <rPr>
            <b/>
            <sz val="9"/>
            <rFont val="Tahoma"/>
          </rPr>
          <t>Jana Holíková:</t>
        </r>
        <r>
          <rPr>
            <sz val="9"/>
            <rFont val="Tahoma"/>
          </rPr>
          <t xml:space="preserve">
22039/03 +2.295.000
22581.08 +60.000
</t>
        </r>
      </text>
    </comment>
    <comment ref="D455" authorId="202" shapeId="0">
      <text>
        <r>
          <rPr>
            <b/>
            <sz val="9"/>
            <rFont val="Tahoma"/>
          </rPr>
          <t>Jana Holíková:</t>
        </r>
        <r>
          <rPr>
            <sz val="9"/>
            <rFont val="Tahoma"/>
          </rPr>
          <t xml:space="preserve">
22536/05 +220.000
22147/10 +60.000
</t>
        </r>
      </text>
    </comment>
    <comment ref="D458" authorId="203" shapeId="0">
      <text>
        <r>
          <rPr>
            <b/>
            <sz val="9"/>
            <rFont val="Tahoma"/>
          </rPr>
          <t>Jana Holíková:</t>
        </r>
        <r>
          <rPr>
            <sz val="9"/>
            <rFont val="Tahoma"/>
          </rPr>
          <t xml:space="preserve">
22094/06 +390.830
</t>
        </r>
      </text>
    </comment>
    <comment ref="D459" authorId="204" shapeId="0">
      <text>
        <r>
          <rPr>
            <b/>
            <sz val="9"/>
            <rFont val="Tahoma"/>
          </rPr>
          <t>Jana:</t>
        </r>
        <r>
          <rPr>
            <sz val="9"/>
            <rFont val="Tahoma"/>
          </rPr>
          <t xml:space="preserve">
22076/05 +500.000
22094/06 +2.000.000
22561/07 org, AU
22566.07 +500.000
22600/10 úz, ZJ
</t>
        </r>
      </text>
    </comment>
    <comment ref="D460" authorId="205" shapeId="0">
      <text>
        <r>
          <rPr>
            <b/>
            <sz val="9"/>
            <rFont val="Tahoma"/>
          </rPr>
          <t>Jana Holíková:</t>
        </r>
        <r>
          <rPr>
            <sz val="9"/>
            <rFont val="Tahoma"/>
          </rPr>
          <t xml:space="preserve">
22027/02 +17.500.000
22094/06 -3.844.580
22545/06 úz náz
22198/11 -1.000.000
</t>
        </r>
      </text>
    </comment>
    <comment ref="D461" authorId="206" shapeId="0">
      <text>
        <r>
          <rPr>
            <b/>
            <sz val="9"/>
            <rFont val="Tahoma"/>
          </rPr>
          <t>Jana Holíková:</t>
        </r>
        <r>
          <rPr>
            <sz val="9"/>
            <rFont val="Tahoma"/>
          </rPr>
          <t xml:space="preserve">
22027/02 +26.500.000
22058/04 -4.500.000
22094/06 -3.844.580
22545/06 úz náz
22566.07 -500.000
22198/11 -1.000.000
</t>
        </r>
      </text>
    </comment>
    <comment ref="D462" authorId="207" shapeId="0">
      <text>
        <r>
          <rPr>
            <b/>
            <sz val="9"/>
            <rFont val="Tahoma"/>
          </rPr>
          <t>Jana Holíková:</t>
        </r>
        <r>
          <rPr>
            <sz val="9"/>
            <rFont val="Tahoma"/>
          </rPr>
          <t xml:space="preserve">
22107/07 +500.000
</t>
        </r>
      </text>
    </comment>
    <comment ref="D464" authorId="208" shapeId="0">
      <text>
        <r>
          <rPr>
            <b/>
            <sz val="9"/>
            <rFont val="Tahoma"/>
          </rPr>
          <t>Jana Holíková:</t>
        </r>
        <r>
          <rPr>
            <sz val="9"/>
            <rFont val="Tahoma"/>
          </rPr>
          <t xml:space="preserve">
22094/06 +453.750
</t>
        </r>
      </text>
    </comment>
    <comment ref="D465" authorId="209" shapeId="0">
      <text>
        <r>
          <rPr>
            <b/>
            <sz val="9"/>
            <rFont val="Tahoma"/>
          </rPr>
          <t>Jana:</t>
        </r>
        <r>
          <rPr>
            <sz val="9"/>
            <rFont val="Tahoma"/>
          </rPr>
          <t xml:space="preserve">
22094/06 +1.000.000
22561/07 org, AU
22587.09 +70.000
</t>
        </r>
      </text>
    </comment>
    <comment ref="D466" authorId="210" shapeId="0">
      <text>
        <r>
          <rPr>
            <b/>
            <sz val="9"/>
            <rFont val="Tahoma"/>
          </rPr>
          <t>Jana Holíková:</t>
        </r>
        <r>
          <rPr>
            <sz val="9"/>
            <rFont val="Tahoma"/>
          </rPr>
          <t xml:space="preserve">
22027/02 +2.381.000
22138/09 -243.869,85
</t>
        </r>
      </text>
    </comment>
    <comment ref="D467" authorId="211" shapeId="0">
      <text>
        <r>
          <rPr>
            <b/>
            <sz val="9"/>
            <rFont val="Tahoma"/>
          </rPr>
          <t>Jana Holíková:</t>
        </r>
        <r>
          <rPr>
            <sz val="9"/>
            <rFont val="Tahoma"/>
          </rPr>
          <t xml:space="preserve">
22107/07 +1.550.000
22587/09 -70.000
22198/11 -1.000.000
</t>
        </r>
      </text>
    </comment>
    <comment ref="D469" authorId="212" shapeId="0">
      <text>
        <r>
          <rPr>
            <b/>
            <sz val="9"/>
            <rFont val="Tahoma"/>
          </rPr>
          <t>Jana Holíková:</t>
        </r>
        <r>
          <rPr>
            <sz val="9"/>
            <rFont val="Tahoma"/>
          </rPr>
          <t xml:space="preserve">
22027/02 +1.800.000
22538/05 +200.000
22566.07 +100.000
22575/08 +150.000
22198/11 -156.614,60
</t>
        </r>
      </text>
    </comment>
    <comment ref="D470" authorId="213" shapeId="0">
      <text>
        <r>
          <rPr>
            <b/>
            <sz val="9"/>
            <rFont val="Tahoma"/>
          </rPr>
          <t>Jana Holíková:</t>
        </r>
        <r>
          <rPr>
            <sz val="9"/>
            <rFont val="Tahoma"/>
          </rPr>
          <t xml:space="preserve">
22027/02 +3.400.000
22566.07 -100.000
22198/11 -600.000
</t>
        </r>
      </text>
    </comment>
    <comment ref="D471" authorId="214" shapeId="0">
      <text>
        <r>
          <rPr>
            <b/>
            <sz val="9"/>
            <rFont val="Tahoma"/>
          </rPr>
          <t>Jana Holíková:</t>
        </r>
        <r>
          <rPr>
            <sz val="9"/>
            <rFont val="Tahoma"/>
          </rPr>
          <t xml:space="preserve">
22027/02 +2.600.000
22198/11 -400.000
</t>
        </r>
      </text>
    </comment>
    <comment ref="D472" authorId="215" shapeId="0">
      <text>
        <r>
          <rPr>
            <b/>
            <sz val="9"/>
            <rFont val="Tahoma"/>
          </rPr>
          <t>Jana Holíková:</t>
        </r>
        <r>
          <rPr>
            <sz val="9"/>
            <rFont val="Tahoma"/>
          </rPr>
          <t xml:space="preserve">
22027/02 +2.600.000
22575/08 -150.000
22579.08 -160.000
22198/11 -212.734,51
</t>
        </r>
      </text>
    </comment>
    <comment ref="D473" authorId="216" shapeId="0">
      <text>
        <r>
          <rPr>
            <b/>
            <sz val="9"/>
            <rFont val="Tahoma"/>
          </rPr>
          <t>Jana Holíková:</t>
        </r>
        <r>
          <rPr>
            <sz val="9"/>
            <rFont val="Tahoma"/>
          </rPr>
          <t xml:space="preserve">
22027/02 +2.600.000
22538/05 -200.000
22198/11 -261.815,15
</t>
        </r>
      </text>
    </comment>
    <comment ref="D476" authorId="217" shapeId="0">
      <text>
        <r>
          <rPr>
            <b/>
            <sz val="9"/>
            <rFont val="Tahoma"/>
          </rPr>
          <t>Jana Holíková:</t>
        </r>
        <r>
          <rPr>
            <sz val="9"/>
            <rFont val="Tahoma"/>
          </rPr>
          <t xml:space="preserve">
22142/09 -9.000.000
</t>
        </r>
      </text>
    </comment>
    <comment ref="D477" authorId="218" shapeId="0">
      <text>
        <r>
          <rPr>
            <b/>
            <sz val="9"/>
            <rFont val="Tahoma"/>
          </rPr>
          <t>Jana:</t>
        </r>
        <r>
          <rPr>
            <sz val="9"/>
            <rFont val="Tahoma"/>
          </rPr>
          <t xml:space="preserve">
22553/06 +84.940
</t>
        </r>
      </text>
    </comment>
    <comment ref="D478" authorId="219" shapeId="0">
      <text>
        <r>
          <rPr>
            <b/>
            <sz val="9"/>
            <rFont val="Tahoma"/>
          </rPr>
          <t>Jana:</t>
        </r>
        <r>
          <rPr>
            <sz val="9"/>
            <rFont val="Tahoma"/>
          </rPr>
          <t xml:space="preserve">
22553/06 +26.700
</t>
        </r>
      </text>
    </comment>
    <comment ref="D479" authorId="220" shapeId="0">
      <text>
        <r>
          <rPr>
            <b/>
            <sz val="9"/>
            <rFont val="Tahoma"/>
          </rPr>
          <t>Jana Holíková:</t>
        </r>
        <r>
          <rPr>
            <sz val="9"/>
            <rFont val="Tahoma"/>
          </rPr>
          <t xml:space="preserve">
22106/07 +399.900 úz612
22212/12 -79.980
</t>
        </r>
      </text>
    </comment>
    <comment ref="D480" authorId="221" shapeId="0">
      <text>
        <r>
          <rPr>
            <b/>
            <sz val="9"/>
            <rFont val="Tahoma"/>
          </rPr>
          <t>Jana:</t>
        </r>
        <r>
          <rPr>
            <sz val="9"/>
            <rFont val="Tahoma"/>
          </rPr>
          <t xml:space="preserve">
22553.06 -111.640
</t>
        </r>
      </text>
    </comment>
    <comment ref="D483" authorId="222" shapeId="0">
      <text>
        <r>
          <rPr>
            <b/>
            <sz val="9"/>
            <rFont val="Tahoma"/>
          </rPr>
          <t>Jana Holíková:</t>
        </r>
        <r>
          <rPr>
            <sz val="9"/>
            <rFont val="Tahoma"/>
          </rPr>
          <t xml:space="preserve">
22067/05 -300.000
</t>
        </r>
      </text>
    </comment>
    <comment ref="D485" authorId="223" shapeId="0">
      <text>
        <r>
          <rPr>
            <b/>
            <sz val="9"/>
            <rFont val="Tahoma"/>
          </rPr>
          <t>Jana Holíková:</t>
        </r>
        <r>
          <rPr>
            <sz val="9"/>
            <rFont val="Tahoma"/>
          </rPr>
          <t xml:space="preserve">
22067/05 -80.000
</t>
        </r>
      </text>
    </comment>
    <comment ref="D486" authorId="224" shapeId="0">
      <text>
        <r>
          <rPr>
            <b/>
            <sz val="9"/>
            <rFont val="Tahoma"/>
          </rPr>
          <t>Jana Holíková:</t>
        </r>
        <r>
          <rPr>
            <sz val="9"/>
            <rFont val="Tahoma"/>
          </rPr>
          <t xml:space="preserve">
22599/10 -19.000
</t>
        </r>
      </text>
    </comment>
    <comment ref="D488" authorId="225" shapeId="0">
      <text>
        <r>
          <rPr>
            <b/>
            <sz val="9"/>
            <rFont val="Tahoma"/>
          </rPr>
          <t>Jana Holíková:</t>
        </r>
        <r>
          <rPr>
            <sz val="9"/>
            <rFont val="Tahoma"/>
          </rPr>
          <t xml:space="preserve">
22067/05 -50.000
</t>
        </r>
      </text>
    </comment>
    <comment ref="D489" authorId="226" shapeId="0">
      <text>
        <r>
          <rPr>
            <b/>
            <sz val="9"/>
            <rFont val="Tahoma"/>
          </rPr>
          <t>Jana Holíková:</t>
        </r>
        <r>
          <rPr>
            <sz val="9"/>
            <rFont val="Tahoma"/>
          </rPr>
          <t xml:space="preserve">
22067/05 -60.000
</t>
        </r>
      </text>
    </comment>
    <comment ref="D491" authorId="227" shapeId="0">
      <text>
        <r>
          <rPr>
            <b/>
            <sz val="9"/>
            <rFont val="Tahoma"/>
          </rPr>
          <t>Jana Holíková:</t>
        </r>
        <r>
          <rPr>
            <sz val="9"/>
            <rFont val="Tahoma"/>
          </rPr>
          <t xml:space="preserve">
22067/05 -450.000
</t>
        </r>
      </text>
    </comment>
    <comment ref="D492" authorId="228" shapeId="0">
      <text>
        <r>
          <rPr>
            <b/>
            <sz val="9"/>
            <rFont val="Tahoma"/>
          </rPr>
          <t>Jana Holíková:</t>
        </r>
        <r>
          <rPr>
            <sz val="9"/>
            <rFont val="Tahoma"/>
          </rPr>
          <t xml:space="preserve">
22142/09 -1.800.000
</t>
        </r>
      </text>
    </comment>
    <comment ref="D493" authorId="229" shapeId="0">
      <text>
        <r>
          <rPr>
            <b/>
            <sz val="9"/>
            <rFont val="Tahoma"/>
          </rPr>
          <t>Jana Holíková:</t>
        </r>
        <r>
          <rPr>
            <sz val="9"/>
            <rFont val="Tahoma"/>
          </rPr>
          <t xml:space="preserve">
22599/10 +19.000
</t>
        </r>
      </text>
    </comment>
    <comment ref="D495" authorId="230" shapeId="0">
      <text>
        <r>
          <rPr>
            <b/>
            <sz val="9"/>
            <rFont val="Tahoma"/>
          </rPr>
          <t>Jana Holíková:</t>
        </r>
        <r>
          <rPr>
            <sz val="9"/>
            <rFont val="Tahoma"/>
          </rPr>
          <t xml:space="preserve">
22534/05 +450.000
22142/09 -430.000
22595/09 změna org
</t>
        </r>
      </text>
    </comment>
    <comment ref="D497" authorId="231" shapeId="0">
      <text>
        <r>
          <rPr>
            <b/>
            <sz val="9"/>
            <rFont val="Tahoma"/>
          </rPr>
          <t>Jana Holíková:</t>
        </r>
        <r>
          <rPr>
            <sz val="9"/>
            <rFont val="Tahoma"/>
          </rPr>
          <t xml:space="preserve">
22068/05 +3.200.000
</t>
        </r>
      </text>
    </comment>
    <comment ref="D498" authorId="232" shapeId="0">
      <text>
        <r>
          <rPr>
            <b/>
            <sz val="9"/>
            <rFont val="Tahoma"/>
          </rPr>
          <t>Jana Holíková:</t>
        </r>
        <r>
          <rPr>
            <sz val="9"/>
            <rFont val="Tahoma"/>
          </rPr>
          <t xml:space="preserve">
22073/05 -1.600.000
22114/08 -160.000 -2.000.000 -900.000
22148/10 -300.000
</t>
        </r>
      </text>
    </comment>
    <comment ref="D500" authorId="233" shapeId="0">
      <text>
        <r>
          <rPr>
            <b/>
            <sz val="9"/>
            <rFont val="Tahoma"/>
          </rPr>
          <t>Jana Holíková:</t>
        </r>
        <r>
          <rPr>
            <sz val="9"/>
            <rFont val="Tahoma"/>
          </rPr>
          <t xml:space="preserve">
22142/09 -105.000
</t>
        </r>
      </text>
    </comment>
    <comment ref="D507" authorId="234" shapeId="0">
      <text>
        <r>
          <rPr>
            <b/>
            <sz val="9"/>
            <rFont val="Tahoma"/>
          </rPr>
          <t>Jana Holíková:</t>
        </r>
        <r>
          <rPr>
            <sz val="9"/>
            <rFont val="Tahoma"/>
          </rPr>
          <t xml:space="preserve">
22023/02
-130.000 -32.240 -11.700
22037/03 +275.880
22064/04 +44.000+156.000 úz692
22054/04 +80.000 úz 672
22070/05 +9.608 +2.392
22097/06 +20.000
22133/09 +174.200 
22140/09 +1.430
22168/11 + 70.000
22178/11 -68,67
</t>
        </r>
      </text>
    </comment>
    <comment ref="D515" authorId="235" shapeId="0">
      <text>
        <r>
          <rPr>
            <b/>
            <sz val="9"/>
            <rFont val="Tahoma"/>
          </rPr>
          <t>Jana Holíková:</t>
        </r>
        <r>
          <rPr>
            <sz val="9"/>
            <rFont val="Tahoma"/>
          </rPr>
          <t xml:space="preserve">
22526.04 +33.408
</t>
        </r>
      </text>
    </comment>
    <comment ref="D517" authorId="236" shapeId="0">
      <text>
        <r>
          <rPr>
            <b/>
            <sz val="9"/>
            <rFont val="Tahoma"/>
          </rPr>
          <t>Jana Holíková:</t>
        </r>
        <r>
          <rPr>
            <sz val="9"/>
            <rFont val="Tahoma"/>
          </rPr>
          <t xml:space="preserve">
22048/04 +232.526
</t>
        </r>
      </text>
    </comment>
    <comment ref="D518" authorId="237" shapeId="0">
      <text>
        <r>
          <rPr>
            <b/>
            <sz val="9"/>
            <rFont val="Tahoma"/>
          </rPr>
          <t>Jana Holíková:</t>
        </r>
        <r>
          <rPr>
            <sz val="9"/>
            <rFont val="Tahoma"/>
          </rPr>
          <t xml:space="preserve">
22526.04 +33.408
</t>
        </r>
      </text>
    </comment>
    <comment ref="D519" authorId="238" shapeId="0">
      <text>
        <r>
          <rPr>
            <b/>
            <sz val="9"/>
            <rFont val="Tahoma"/>
          </rPr>
          <t>Jana Holíková:</t>
        </r>
        <r>
          <rPr>
            <sz val="9"/>
            <rFont val="Tahoma"/>
          </rPr>
          <t xml:space="preserve">
22526/04 -33.408
22539/05 -3.146
</t>
        </r>
      </text>
    </comment>
    <comment ref="D520" authorId="239" shapeId="0">
      <text>
        <r>
          <rPr>
            <b/>
            <sz val="9"/>
            <rFont val="Tahoma"/>
          </rPr>
          <t>Jana Holíková:</t>
        </r>
        <r>
          <rPr>
            <sz val="9"/>
            <rFont val="Tahoma"/>
          </rPr>
          <t xml:space="preserve">
22539/05 +3.146
</t>
        </r>
      </text>
    </comment>
    <comment ref="D528" authorId="240" shapeId="0">
      <text>
        <r>
          <rPr>
            <b/>
            <sz val="9"/>
            <rFont val="Tahoma"/>
          </rPr>
          <t>Jana Holíková:</t>
        </r>
        <r>
          <rPr>
            <sz val="9"/>
            <rFont val="Tahoma"/>
          </rPr>
          <t xml:space="preserve">
22132/09  úz 98187
+1.076.000
</t>
        </r>
      </text>
    </comment>
    <comment ref="D539" authorId="241" shapeId="0">
      <text>
        <r>
          <rPr>
            <b/>
            <sz val="9"/>
            <rFont val="Tahoma"/>
          </rPr>
          <t>Jana Holíková:</t>
        </r>
        <r>
          <rPr>
            <sz val="9"/>
            <rFont val="Tahoma"/>
          </rPr>
          <t xml:space="preserve">
22174/11 úz33092
+205.167,05 1431
+676.702,95 1435
22186/11 +130.000
22187/11 +199.651
</t>
        </r>
      </text>
    </comment>
    <comment ref="D540" authorId="242" shapeId="0">
      <text>
        <r>
          <rPr>
            <b/>
            <sz val="9"/>
            <rFont val="Tahoma"/>
          </rPr>
          <t>Jana Holíková:</t>
        </r>
        <r>
          <rPr>
            <sz val="9"/>
            <rFont val="Tahoma"/>
          </rPr>
          <t xml:space="preserve">
22197/11 -177.158
</t>
        </r>
      </text>
    </comment>
    <comment ref="D541" authorId="243" shapeId="0">
      <text>
        <r>
          <rPr>
            <b/>
            <sz val="9"/>
            <rFont val="Tahoma"/>
          </rPr>
          <t>Jana Holíková:</t>
        </r>
        <r>
          <rPr>
            <sz val="9"/>
            <rFont val="Tahoma"/>
          </rPr>
          <t xml:space="preserve">
22024/02 -4.139.000
22042/03 -150.000
22197/11 +58.000
</t>
        </r>
      </text>
    </comment>
    <comment ref="D544" authorId="244" shapeId="0">
      <text>
        <r>
          <rPr>
            <b/>
            <sz val="9"/>
            <rFont val="Tahoma"/>
          </rPr>
          <t>Jana Holíková:</t>
        </r>
        <r>
          <rPr>
            <sz val="9"/>
            <rFont val="Tahoma"/>
          </rPr>
          <t xml:space="preserve">
22176/11 úz33092
+254.662,65 1431
+839.954,35 1435
22185/11 +191.000
</t>
        </r>
      </text>
    </comment>
    <comment ref="D545" authorId="245" shapeId="0">
      <text>
        <r>
          <rPr>
            <b/>
            <sz val="9"/>
            <rFont val="Tahoma"/>
          </rPr>
          <t>Jana Holíková:</t>
        </r>
        <r>
          <rPr>
            <sz val="9"/>
            <rFont val="Tahoma"/>
          </rPr>
          <t xml:space="preserve">
22155/10 +29.473
</t>
        </r>
      </text>
    </comment>
    <comment ref="D548" authorId="246" shapeId="0">
      <text>
        <r>
          <rPr>
            <b/>
            <sz val="9"/>
            <rFont val="Tahoma"/>
          </rPr>
          <t>Jana Holíková:</t>
        </r>
        <r>
          <rPr>
            <sz val="9"/>
            <rFont val="Tahoma"/>
          </rPr>
          <t xml:space="preserve">
22154/10 +135.500
22156/10 +4.994
22162/11 úz 13014
+5.135,13 (1201)
+39099,07 (1205)
22175/11 úz33092
+181.310,43 1431
+598.016,57 1435
22183/11 +29.660
</t>
        </r>
      </text>
    </comment>
    <comment ref="D549" authorId="247" shapeId="0">
      <text>
        <r>
          <rPr>
            <b/>
            <sz val="9"/>
            <rFont val="Tahoma"/>
          </rPr>
          <t>Jana Holíková:</t>
        </r>
        <r>
          <rPr>
            <sz val="9"/>
            <rFont val="Tahoma"/>
          </rPr>
          <t xml:space="preserve">
22154/10 -135.500
22165/11 -118.850
22183/11 -150.676,24
</t>
        </r>
      </text>
    </comment>
    <comment ref="D550" authorId="248" shapeId="0">
      <text>
        <r>
          <rPr>
            <b/>
            <sz val="9"/>
            <rFont val="Tahoma"/>
          </rPr>
          <t>Jana Holíková:</t>
        </r>
        <r>
          <rPr>
            <sz val="9"/>
            <rFont val="Tahoma"/>
          </rPr>
          <t xml:space="preserve">
22041/03 -684.000
22184/11 -248,14
</t>
        </r>
      </text>
    </comment>
    <comment ref="D553" authorId="249" shapeId="0">
      <text>
        <r>
          <rPr>
            <b/>
            <sz val="9"/>
            <rFont val="Tahoma"/>
          </rPr>
          <t>Jana Holíková:</t>
        </r>
        <r>
          <rPr>
            <sz val="9"/>
            <rFont val="Tahoma"/>
          </rPr>
          <t xml:space="preserve">
22014/02 -175.000 rez
22040/03 +125.004 rez
22057/04 -50.000 rez +50.000 rez
22518/04 -46.000 rez +46.000
22155/10 -29.473
22156/10 -77.530
22164/11 -75.739 -20.261 rez
22166/11 -28.739 -1.261 rez
22191/11 -124.739 rez
22208/12 +9.235 +50.000 +13.261 +43.000 -5.000 -1.001
+13.991 z §3419
</t>
        </r>
      </text>
    </comment>
    <comment ref="D559" authorId="250" shapeId="0">
      <text>
        <r>
          <rPr>
            <b/>
            <sz val="9"/>
            <rFont val="Tahoma"/>
          </rPr>
          <t>Jana Holíková:</t>
        </r>
        <r>
          <rPr>
            <sz val="9"/>
            <rFont val="Tahoma"/>
          </rPr>
          <t xml:space="preserve">
22014/02 +175.000
22089/06 úz13014
+742,69 120,1
+4.208,59 120,5
22156/10 +33.125
22162/11 úz 13014
+4.048,85 (1201)
+22.943,50 (1205)
22195/11 +20.000
</t>
        </r>
      </text>
    </comment>
    <comment ref="D560" authorId="251" shapeId="0">
      <text>
        <r>
          <rPr>
            <b/>
            <sz val="9"/>
            <rFont val="Tahoma"/>
          </rPr>
          <t>Jana Holíková:</t>
        </r>
        <r>
          <rPr>
            <sz val="9"/>
            <rFont val="Tahoma"/>
          </rPr>
          <t xml:space="preserve">
22182/11 -21.016,09
</t>
        </r>
      </text>
    </comment>
    <comment ref="D561" authorId="252" shapeId="0">
      <text>
        <r>
          <rPr>
            <b/>
            <sz val="9"/>
            <rFont val="Tahoma"/>
          </rPr>
          <t>Jana Holíková:</t>
        </r>
        <r>
          <rPr>
            <sz val="9"/>
            <rFont val="Tahoma"/>
          </rPr>
          <t xml:space="preserve">
22181/11 -2.042.156,56
22185/11 -191.000
22186/11 -130.000
22187/11 -199.651
22188/11 -8.888
22192/11 -490.125,11
22195/11 -20.000
</t>
        </r>
      </text>
    </comment>
    <comment ref="D564" authorId="253" shapeId="0">
      <text>
        <r>
          <rPr>
            <b/>
            <sz val="9"/>
            <rFont val="Tahoma"/>
          </rPr>
          <t>Jana Holíková:</t>
        </r>
        <r>
          <rPr>
            <sz val="9"/>
            <rFont val="Tahoma"/>
          </rPr>
          <t xml:space="preserve">
22021/02 úz13014
+2.670,26 (1201)
15.131,44 (1205)
22089/06 úz13014
+2.157,75 (1201)
12.227,25 (1205)
22156/10 +19.982
22162/11 úz 13014
+4.937,63 (1201)
+27.979,87 (1205)
22166/11 +30.000
22189/11 +8.888
</t>
        </r>
      </text>
    </comment>
    <comment ref="D565" authorId="254" shapeId="0">
      <text>
        <r>
          <rPr>
            <b/>
            <sz val="9"/>
            <rFont val="Tahoma"/>
          </rPr>
          <t>Jana Holíková:</t>
        </r>
        <r>
          <rPr>
            <sz val="9"/>
            <rFont val="Tahoma"/>
          </rPr>
          <t xml:space="preserve">
22196/11 -814.000
</t>
        </r>
      </text>
    </comment>
    <comment ref="D566" authorId="255" shapeId="0">
      <text>
        <r>
          <rPr>
            <b/>
            <sz val="9"/>
            <rFont val="Tahoma"/>
          </rPr>
          <t>Jana Holíková:</t>
        </r>
        <r>
          <rPr>
            <sz val="9"/>
            <rFont val="Tahoma"/>
          </rPr>
          <t xml:space="preserve">
22165/11 +118.850
</t>
        </r>
      </text>
    </comment>
    <comment ref="D569" authorId="256" shapeId="0">
      <text>
        <r>
          <rPr>
            <b/>
            <sz val="9"/>
            <rFont val="Tahoma"/>
          </rPr>
          <t>Jana Holíková:</t>
        </r>
        <r>
          <rPr>
            <sz val="9"/>
            <rFont val="Tahoma"/>
          </rPr>
          <t xml:space="preserve">
22011/02 
+   180.804,25 17015 1071
+3.073.672,15 17016 1075
22021/02 úz13014
+4.369,37 (1201)
+24.759,73 (1205)
22089/06 úz13014
+755,6 (1201)
+4.282,21 (1205)
22156/10 +9.229
22160/11 úz33092
+949.216,65 1431
+3.130.803,35 1435
22162/11 úz13014
+6.863,30 (1201)
+38.892,03 (1205)
22164/11 +96.000
</t>
        </r>
      </text>
    </comment>
    <comment ref="D571" authorId="257" shapeId="0">
      <text>
        <r>
          <rPr>
            <b/>
            <sz val="9"/>
            <rFont val="Tahoma"/>
          </rPr>
          <t>Jana Holíková:</t>
        </r>
        <r>
          <rPr>
            <sz val="9"/>
            <rFont val="Tahoma"/>
          </rPr>
          <t xml:space="preserve">
22011/02 
+  116.777,32 17968 1071
+1.985.214,55 17969 1075
</t>
        </r>
      </text>
    </comment>
    <comment ref="D574" authorId="258" shapeId="0">
      <text>
        <r>
          <rPr>
            <b/>
            <sz val="9"/>
            <rFont val="Tahoma"/>
          </rPr>
          <t>Jana Holíková:</t>
        </r>
        <r>
          <rPr>
            <sz val="9"/>
            <rFont val="Tahoma"/>
          </rPr>
          <t xml:space="preserve">
22040/03 -125.004
22057/04 -50.570
22140/09 +5.000
22150/10 +35.891
</t>
        </r>
      </text>
    </comment>
    <comment ref="D575" authorId="259" shapeId="0">
      <text>
        <r>
          <rPr>
            <b/>
            <sz val="9"/>
            <rFont val="Tahoma"/>
          </rPr>
          <t>Jana Holíková:</t>
        </r>
        <r>
          <rPr>
            <sz val="9"/>
            <rFont val="Tahoma"/>
          </rPr>
          <t xml:space="preserve">
22188/11 -2.276,32
</t>
        </r>
      </text>
    </comment>
    <comment ref="D580" authorId="260" shapeId="0">
      <text>
        <r>
          <rPr>
            <b/>
            <sz val="9"/>
            <rFont val="Tahoma"/>
          </rPr>
          <t>Jana:</t>
        </r>
        <r>
          <rPr>
            <sz val="9"/>
            <rFont val="Tahoma"/>
          </rPr>
          <t xml:space="preserve">
22090/06 +188.000
22118/08 +210.100 úz33166
22153/10 
+ 74.612,47 17015 1071
+1.268.412,02 17016 1075
22156/10 +10.200
22193/11 +967.937,95
</t>
        </r>
      </text>
    </comment>
    <comment ref="D581" authorId="261" shapeId="0">
      <text>
        <r>
          <rPr>
            <b/>
            <sz val="9"/>
            <rFont val="Tahoma"/>
          </rPr>
          <t>Jana Holíková:</t>
        </r>
        <r>
          <rPr>
            <sz val="9"/>
            <rFont val="Tahoma"/>
          </rPr>
          <t xml:space="preserve">
22054/04 +700.000
22194/11 +464.545,70
</t>
        </r>
      </text>
    </comment>
    <comment ref="D582" authorId="262" shapeId="0">
      <text>
        <r>
          <rPr>
            <b/>
            <sz val="9"/>
            <rFont val="Tahoma"/>
          </rPr>
          <t>Jana Holíková:</t>
        </r>
        <r>
          <rPr>
            <sz val="9"/>
            <rFont val="Tahoma"/>
          </rPr>
          <t xml:space="preserve">
22057/4 -700.000
22153/10
+739.250,27 17968 1071
+12.567.254,62 17969 1075
22192/11 +490.125,11
22193/11 -967.937,95
22194/11 -464.545,70
</t>
        </r>
      </text>
    </comment>
    <comment ref="D583" authorId="263" shapeId="0">
      <text>
        <r>
          <rPr>
            <b/>
            <sz val="9"/>
            <rFont val="Tahoma"/>
          </rPr>
          <t>Jana Holíková:</t>
        </r>
        <r>
          <rPr>
            <sz val="9"/>
            <rFont val="Tahoma"/>
          </rPr>
          <t xml:space="preserve">
22212/12 +1.955
-13.991 na 0400
</t>
        </r>
      </text>
    </comment>
    <comment ref="D586" authorId="264" shapeId="0">
      <text>
        <r>
          <rPr>
            <b/>
            <sz val="9"/>
            <rFont val="Tahoma"/>
          </rPr>
          <t>Jana Holíková:</t>
        </r>
        <r>
          <rPr>
            <sz val="9"/>
            <rFont val="Tahoma"/>
          </rPr>
          <t xml:space="preserve">
22022/02 -304.528
22038/03 -54 (opr.22022/02)
22161/11 -522.507,86
</t>
        </r>
      </text>
    </comment>
    <comment ref="D587" authorId="265" shapeId="0">
      <text>
        <r>
          <rPr>
            <b/>
            <sz val="9"/>
            <rFont val="Tahoma"/>
          </rPr>
          <t>Jana Holíková:</t>
        </r>
        <r>
          <rPr>
            <sz val="9"/>
            <rFont val="Tahoma"/>
          </rPr>
          <t xml:space="preserve">
22025/02 -5.319.000
22091/06 +419.212,24
</t>
        </r>
      </text>
    </comment>
    <comment ref="D592" authorId="266" shapeId="0">
      <text>
        <r>
          <rPr>
            <b/>
            <sz val="9"/>
            <rFont val="Tahoma"/>
          </rPr>
          <t>Jana Holíková:</t>
        </r>
        <r>
          <rPr>
            <sz val="9"/>
            <rFont val="Tahoma"/>
          </rPr>
          <t xml:space="preserve">
-10.000 OV
</t>
        </r>
      </text>
    </comment>
    <comment ref="D593" authorId="267" shapeId="0">
      <text>
        <r>
          <rPr>
            <b/>
            <sz val="9"/>
            <rFont val="Tahoma"/>
          </rPr>
          <t>Jana Holíková:</t>
        </r>
        <r>
          <rPr>
            <sz val="9"/>
            <rFont val="Tahoma"/>
          </rPr>
          <t xml:space="preserve">
+10.000 OV
</t>
        </r>
      </text>
    </comment>
    <comment ref="D594" authorId="268" shapeId="0">
      <text>
        <r>
          <rPr>
            <b/>
            <sz val="9"/>
            <rFont val="Tahoma"/>
          </rPr>
          <t>Jana Holíková:</t>
        </r>
        <r>
          <rPr>
            <sz val="9"/>
            <rFont val="Tahoma"/>
          </rPr>
          <t xml:space="preserve">
22208/12 -150.000
</t>
        </r>
      </text>
    </comment>
    <comment ref="D596" authorId="269" shapeId="0">
      <text>
        <r>
          <rPr>
            <b/>
            <sz val="9"/>
            <rFont val="Tahoma"/>
          </rPr>
          <t>Jana Holíková:</t>
        </r>
        <r>
          <rPr>
            <sz val="9"/>
            <rFont val="Tahoma"/>
          </rPr>
          <t xml:space="preserve">
22190/11 -1.000.000
22208/12 -98.000
</t>
        </r>
      </text>
    </comment>
    <comment ref="D601" authorId="270" shapeId="0">
      <text>
        <r>
          <rPr>
            <b/>
            <sz val="9"/>
            <rFont val="Tahoma"/>
          </rPr>
          <t>Jana Holíková:</t>
        </r>
        <r>
          <rPr>
            <sz val="9"/>
            <rFont val="Tahoma"/>
          </rPr>
          <t xml:space="preserve">
22002.01 +4.450.000 úz345
22010.02 +50.000  NJ kult.léto
22022/02 -573.199
22117/08 +47.000 úz34053
22150/10 +19.865
22161/11 -447.868,62
22163/11 +4.107 poj.pl
22167/11 +19.064,59
22179/11 
+20.760 +267.238 +26.782
22207/12 
+ 447.868,62
- 447.898,62
</t>
        </r>
      </text>
    </comment>
    <comment ref="D603" authorId="271" shapeId="0">
      <text>
        <r>
          <rPr>
            <b/>
            <sz val="9"/>
            <rFont val="Tahoma"/>
          </rPr>
          <t>Jana Holíková:</t>
        </r>
        <r>
          <rPr>
            <sz val="9"/>
            <rFont val="Tahoma"/>
          </rPr>
          <t xml:space="preserve">
22039/03 -2.295.000 sanace knihovny
22179/11 
+132.246,3 -431.000 -1.009.000
</t>
        </r>
      </text>
    </comment>
    <comment ref="D604" authorId="272" shapeId="0">
      <text>
        <r>
          <rPr>
            <b/>
            <sz val="9"/>
            <rFont val="Tahoma"/>
          </rPr>
          <t>Jana Holíková:</t>
        </r>
        <r>
          <rPr>
            <sz val="9"/>
            <rFont val="Tahoma"/>
          </rPr>
          <t xml:space="preserve">
22026/02 -1.781.000 PD kina
22117/08 +260.000 úz34544
22179/11 -181.000 -13.693
</t>
        </r>
      </text>
    </comment>
    <comment ref="D606" authorId="273" shapeId="0">
      <text>
        <r>
          <rPr>
            <b/>
            <sz val="9"/>
            <rFont val="Tahoma"/>
          </rPr>
          <t>Jana Holíková:</t>
        </r>
        <r>
          <rPr>
            <sz val="9"/>
            <rFont val="Tahoma"/>
          </rPr>
          <t xml:space="preserve">
22167/11 -19.064,59
</t>
        </r>
      </text>
    </comment>
    <comment ref="D611" authorId="274" shapeId="0">
      <text>
        <r>
          <rPr>
            <b/>
            <sz val="9"/>
            <rFont val="Tahoma"/>
          </rPr>
          <t>Jana Holíková:</t>
        </r>
        <r>
          <rPr>
            <sz val="9"/>
            <rFont val="Tahoma"/>
          </rPr>
          <t xml:space="preserve">
22121/08 -50.000 rez
22122/08 -40.000 rez
</t>
        </r>
      </text>
    </comment>
    <comment ref="D618" authorId="275" shapeId="0">
      <text>
        <r>
          <rPr>
            <b/>
            <sz val="9"/>
            <rFont val="Tahoma"/>
          </rPr>
          <t>Jana Holíková:</t>
        </r>
        <r>
          <rPr>
            <sz val="9"/>
            <rFont val="Tahoma"/>
          </rPr>
          <t xml:space="preserve">
22008/02 +10.000 -10.000 Rez
22030/03 -124.500 Rez +124.500
22031/03 +950.000
22035/03 -8.000 Rez +8.000
22036/03 -20.000 rez +20.000
22044/03 + 430,80 +21.441
22049/04 -5.000 rez +5.000
22074/05 +25.000
22078/06 +230.000
22079/06 -90.000 rez +90.000
22080/06 +20.000
22081/06 +600.000
22082/06 +600.000
22083/06 -450.000 rez +450.000
22084/06 +3.925.018,90 -3.731.500 rez
22081/07 + - 600.000 jiná pol
22109/07 +49.000
22121/08 +50.000
22122/08 +40.000
22126/09 +69.500
22127/09 +1.150.000
22128/09 +100.000
22129/09 +800.000
22130/09 +950.000
22200/12 +50.000
22201/12 +147.136
22202/12 +25.000
22203/12 +30.000
</t>
        </r>
      </text>
    </comment>
    <comment ref="D622" authorId="276" shapeId="0">
      <text>
        <r>
          <rPr>
            <b/>
            <sz val="9"/>
            <rFont val="Tahoma"/>
          </rPr>
          <t>Jana Holíková:</t>
        </r>
        <r>
          <rPr>
            <sz val="9"/>
            <rFont val="Tahoma"/>
          </rPr>
          <t xml:space="preserve">
22023/02 
-600.000 -54.000 -54.000
22133/09 +321.600
</t>
        </r>
      </text>
    </comment>
    <comment ref="D625" authorId="277" shapeId="0">
      <text>
        <r>
          <rPr>
            <b/>
            <sz val="9"/>
            <rFont val="Tahoma"/>
          </rPr>
          <t>Jana Holíková:</t>
        </r>
        <r>
          <rPr>
            <sz val="9"/>
            <rFont val="Tahoma"/>
          </rPr>
          <t xml:space="preserve">
22045/03 +565.000
</t>
        </r>
      </text>
    </comment>
    <comment ref="D631" authorId="278" shapeId="0">
      <text>
        <r>
          <rPr>
            <b/>
            <sz val="9"/>
            <rFont val="Tahoma"/>
          </rPr>
          <t>Jana Holíková:</t>
        </r>
        <r>
          <rPr>
            <sz val="9"/>
            <rFont val="Tahoma"/>
          </rPr>
          <t xml:space="preserve">
22016/02 +600.000 org.3381
</t>
        </r>
      </text>
    </comment>
    <comment ref="D633" authorId="279" shapeId="0">
      <text>
        <r>
          <rPr>
            <b/>
            <sz val="9"/>
            <rFont val="Tahoma"/>
          </rPr>
          <t>Jana Holíková:</t>
        </r>
        <r>
          <rPr>
            <sz val="9"/>
            <rFont val="Tahoma"/>
          </rPr>
          <t xml:space="preserve">
22514.03 +137.000
22075/05 +19.630
22529/05 -50.000
22087/09 +570.000 úz34054
22544/06 -50.000 -57.000
22582.08 -1.679249,36 +470.091,05
22623.10 -320.000+280.000
22630.11 -80.000
22657/12 -119.790
</t>
        </r>
      </text>
    </comment>
    <comment ref="E633" authorId="280" shapeId="0">
      <text>
        <r>
          <rPr>
            <b/>
            <sz val="9"/>
            <rFont val="Tahoma"/>
          </rPr>
          <t>Jana Holíková:</t>
        </r>
        <r>
          <rPr>
            <sz val="9"/>
            <rFont val="Tahoma"/>
          </rPr>
          <t xml:space="preserve">
11.562 = 5182 019/6171 u 2360100
129.673 nemůžu najít
</t>
        </r>
      </text>
    </comment>
    <comment ref="D634" authorId="281" shapeId="0">
      <text>
        <r>
          <rPr>
            <b/>
            <sz val="9"/>
            <rFont val="Tahoma"/>
          </rPr>
          <t>Jana Holíková:</t>
        </r>
        <r>
          <rPr>
            <sz val="9"/>
            <rFont val="Tahoma"/>
          </rPr>
          <t xml:space="preserve">
22514/03 +463.000
22529/05 +50.000
22544/06 +50.000 +57.000
22582.08 +759.691,71+449.466,60
22140/09 +308.000
22623/10 +40.000
22630/11 +80.000
</t>
        </r>
      </text>
    </comment>
    <comment ref="D635" authorId="282" shapeId="0">
      <text>
        <r>
          <rPr>
            <b/>
            <sz val="9"/>
            <rFont val="Tahoma"/>
          </rPr>
          <t>Jana Holíková:</t>
        </r>
        <r>
          <rPr>
            <sz val="9"/>
            <rFont val="Tahoma"/>
          </rPr>
          <t xml:space="preserve">
22514/03 +463.000
22529/05 +50.000
22544/06 +50.000 +57.000
22582.08 +759.691,71+449.466,60
22140/09 +308.000
22623/10 +40.000
22630/11 +80.000
</t>
        </r>
      </text>
    </comment>
    <comment ref="D636" authorId="283" shapeId="0">
      <text>
        <r>
          <rPr>
            <b/>
            <sz val="9"/>
            <rFont val="Tahoma"/>
          </rPr>
          <t>Jana Holíková:</t>
        </r>
        <r>
          <rPr>
            <sz val="9"/>
            <rFont val="Tahoma"/>
          </rPr>
          <t xml:space="preserve">
22514/03 -600.000
22529/05 -102.693
22588/09 +25.000
22623.10 +62.000
mezi NIV a IV -124.000
</t>
        </r>
      </text>
    </comment>
    <comment ref="D637" authorId="284" shapeId="0">
      <text>
        <r>
          <rPr>
            <b/>
            <sz val="9"/>
            <rFont val="Tahoma"/>
          </rPr>
          <t>Jana Holíková:</t>
        </r>
        <r>
          <rPr>
            <sz val="9"/>
            <rFont val="Tahoma"/>
          </rPr>
          <t xml:space="preserve">
22003/01 úz 13013
+ 59.625,- (1041)
+506.812,50 (1045)
22529/05 +102.693
22588/09 -25.000
22623.10 -62.000
22657/12 
-33.423,10 -16.711,55 -16.711,55 -284.096,39 -9.075 -154.275 -18.150
mezi NIV a IV +124.000
</t>
        </r>
      </text>
    </comment>
    <comment ref="D638" authorId="285" shapeId="0">
      <text>
        <r>
          <rPr>
            <b/>
            <sz val="9"/>
            <rFont val="Tahoma"/>
          </rPr>
          <t>Jana Holíková:</t>
        </r>
        <r>
          <rPr>
            <sz val="9"/>
            <rFont val="Tahoma"/>
          </rPr>
          <t xml:space="preserve">
22657/12 +119.790 (3389)
+33.423,10 +16.711,55 +284.096,39 +9.075 +154.275
 +18.150 (3388)
</t>
        </r>
      </text>
    </comment>
    <comment ref="D639" authorId="286" shapeId="0">
      <text>
        <r>
          <rPr>
            <b/>
            <sz val="9"/>
            <rFont val="Tahoma"/>
          </rPr>
          <t>Jana Holíková:</t>
        </r>
        <r>
          <rPr>
            <sz val="9"/>
            <rFont val="Tahoma"/>
          </rPr>
          <t xml:space="preserve">
22045/03 -565.000
</t>
        </r>
      </text>
    </comment>
    <comment ref="D642" authorId="287" shapeId="0">
      <text>
        <r>
          <rPr>
            <b/>
            <sz val="9"/>
            <rFont val="Tahoma"/>
          </rPr>
          <t>Jana Holíková:</t>
        </r>
        <r>
          <rPr>
            <sz val="9"/>
            <rFont val="Tahoma"/>
          </rPr>
          <t xml:space="preserve">
22528.05 +úz13024
</t>
        </r>
      </text>
    </comment>
    <comment ref="D643" authorId="288" shapeId="0">
      <text>
        <r>
          <rPr>
            <b/>
            <sz val="9"/>
            <rFont val="Tahoma"/>
          </rPr>
          <t>Jana:</t>
        </r>
        <r>
          <rPr>
            <sz val="9"/>
            <rFont val="Tahoma"/>
          </rPr>
          <t xml:space="preserve">
22086/06 +2.216.050
22105/07 +1.268.300
22135/09 +75.200 +94.600
22157/10 +97.800
22171/11 +105.400
22206/12 +216.000
</t>
        </r>
      </text>
    </comment>
    <comment ref="D649" authorId="289" shapeId="0">
      <text>
        <r>
          <rPr>
            <b/>
            <sz val="9"/>
            <rFont val="Tahoma"/>
          </rPr>
          <t>Jana Holíková:</t>
        </r>
        <r>
          <rPr>
            <sz val="9"/>
            <rFont val="Tahoma"/>
          </rPr>
          <t xml:space="preserve">
22016/02 -600.000
22023/02
-400.000 -99.200 -36.000
</t>
        </r>
      </text>
    </comment>
    <comment ref="D651" authorId="290" shapeId="0">
      <text>
        <r>
          <rPr>
            <b/>
            <sz val="9"/>
            <rFont val="Tahoma"/>
          </rPr>
          <t>Jana Holíková:</t>
        </r>
        <r>
          <rPr>
            <sz val="9"/>
            <rFont val="Tahoma"/>
          </rPr>
          <t xml:space="preserve">
22023/02 
-3.000.000 -744.000 -270.000
22071/05 +60.000
22088/06 úz13015
+855.410 +212.140 +76 988
22565.07 +-   dopl úz13024
22133/09 +2.251.200
22133/09 +2.251.200
</t>
        </r>
      </text>
    </comment>
    <comment ref="E651" authorId="291" shapeId="0">
      <text>
        <r>
          <rPr>
            <b/>
            <sz val="9"/>
            <rFont val="Tahoma"/>
          </rPr>
          <t>Jana Holíková:</t>
        </r>
        <r>
          <rPr>
            <sz val="9"/>
            <rFont val="Tahoma"/>
          </rPr>
          <t xml:space="preserve">
28.012 
je 5032 bez org/má být 
5.000 je záloha 5181 bez org
</t>
        </r>
      </text>
    </comment>
    <comment ref="D652" authorId="292" shapeId="0">
      <text>
        <r>
          <rPr>
            <b/>
            <sz val="9"/>
            <rFont val="Tahoma"/>
          </rPr>
          <t>Jana Holíková:</t>
        </r>
        <r>
          <rPr>
            <sz val="9"/>
            <rFont val="Tahoma"/>
          </rPr>
          <t xml:space="preserve">
22023/02
-201.000 -49.848 -18.090
22061/04 -24.000
</t>
        </r>
      </text>
    </comment>
    <comment ref="D658" authorId="293" shapeId="0">
      <text>
        <r>
          <rPr>
            <b/>
            <sz val="9"/>
            <rFont val="Tahoma"/>
          </rPr>
          <t>Jana Holíková:</t>
        </r>
        <r>
          <rPr>
            <sz val="9"/>
            <rFont val="Tahoma"/>
          </rPr>
          <t xml:space="preserve">
22004/01 +60.500
</t>
        </r>
      </text>
    </comment>
    <comment ref="D660" authorId="294" shapeId="0">
      <text>
        <r>
          <rPr>
            <b/>
            <sz val="9"/>
            <rFont val="Tahoma"/>
          </rPr>
          <t>Jana Holíková:</t>
        </r>
        <r>
          <rPr>
            <sz val="9"/>
            <rFont val="Tahoma"/>
          </rPr>
          <t xml:space="preserve">
22137/09 +70.000
</t>
        </r>
      </text>
    </comment>
    <comment ref="D662" authorId="295" shapeId="0">
      <text>
        <r>
          <rPr>
            <b/>
            <sz val="9"/>
            <rFont val="Tahoma"/>
          </rPr>
          <t>Jana Holíková:</t>
        </r>
        <r>
          <rPr>
            <sz val="9"/>
            <rFont val="Tahoma"/>
          </rPr>
          <t xml:space="preserve">
22527/04 dozn.úz
22675/12 +3.000
+3.000 z ter.pobytů
</t>
        </r>
      </text>
    </comment>
    <comment ref="D663" authorId="296" shapeId="0">
      <text>
        <r>
          <rPr>
            <b/>
            <sz val="9"/>
            <rFont val="Tahoma"/>
          </rPr>
          <t>Jana Holíková:</t>
        </r>
        <r>
          <rPr>
            <sz val="9"/>
            <rFont val="Tahoma"/>
          </rPr>
          <t xml:space="preserve">
22675/12 -3.000
-3.000 z ter.pobytů
</t>
        </r>
      </text>
    </comment>
    <comment ref="D665" authorId="297" shapeId="0">
      <text>
        <r>
          <rPr>
            <b/>
            <sz val="9"/>
            <rFont val="Tahoma"/>
          </rPr>
          <t>Jana Holíková:</t>
        </r>
        <r>
          <rPr>
            <sz val="9"/>
            <rFont val="Tahoma"/>
          </rPr>
          <t xml:space="preserve">
22510/03 -298.000
</t>
        </r>
      </text>
    </comment>
    <comment ref="D667" authorId="298" shapeId="0">
      <text>
        <r>
          <rPr>
            <b/>
            <sz val="9"/>
            <rFont val="Tahoma"/>
          </rPr>
          <t>Jana Holíková:</t>
        </r>
        <r>
          <rPr>
            <sz val="9"/>
            <rFont val="Tahoma"/>
          </rPr>
          <t xml:space="preserve">
22004/01 -60.500
</t>
        </r>
      </text>
    </comment>
    <comment ref="D669" authorId="299" shapeId="0">
      <text>
        <r>
          <rPr>
            <b/>
            <sz val="9"/>
            <rFont val="Tahoma"/>
          </rPr>
          <t>Jana Holíková:</t>
        </r>
        <r>
          <rPr>
            <sz val="9"/>
            <rFont val="Tahoma"/>
          </rPr>
          <t xml:space="preserve">
22510/03 -70.000
</t>
        </r>
      </text>
    </comment>
    <comment ref="D671" authorId="300" shapeId="0">
      <text>
        <r>
          <rPr>
            <b/>
            <sz val="9"/>
            <rFont val="Tahoma"/>
          </rPr>
          <t>Jana Holíková:</t>
        </r>
        <r>
          <rPr>
            <sz val="9"/>
            <rFont val="Tahoma"/>
          </rPr>
          <t xml:space="preserve">
22510/03 -480.000
</t>
        </r>
      </text>
    </comment>
    <comment ref="D673" authorId="301" shapeId="0">
      <text>
        <r>
          <rPr>
            <b/>
            <sz val="9"/>
            <rFont val="Tahoma"/>
          </rPr>
          <t>Jana Holíková:</t>
        </r>
        <r>
          <rPr>
            <sz val="9"/>
            <rFont val="Tahoma"/>
          </rPr>
          <t xml:space="preserve">
22510/03 -1.249.000
</t>
        </r>
      </text>
    </comment>
    <comment ref="D679" authorId="302" shapeId="0">
      <text>
        <r>
          <rPr>
            <b/>
            <sz val="9"/>
            <rFont val="Tahoma"/>
          </rPr>
          <t>Jana Holíková:</t>
        </r>
        <r>
          <rPr>
            <sz val="9"/>
            <rFont val="Tahoma"/>
          </rPr>
          <t xml:space="preserve">
22527/03 -43.000
</t>
        </r>
      </text>
    </comment>
    <comment ref="C681" authorId="303" shapeId="0">
      <text>
        <r>
          <rPr>
            <b/>
            <sz val="9"/>
            <rFont val="Tahoma"/>
          </rPr>
          <t>Jana Holíková:</t>
        </r>
        <r>
          <rPr>
            <sz val="9"/>
            <rFont val="Tahoma"/>
          </rPr>
          <t xml:space="preserve">
-1.680  na 541 LF
</t>
        </r>
      </text>
    </comment>
    <comment ref="C684" authorId="304" shapeId="0">
      <text>
        <r>
          <rPr>
            <b/>
            <sz val="9"/>
            <rFont val="Tahoma"/>
          </rPr>
          <t>Jana Holíková:</t>
        </r>
        <r>
          <rPr>
            <sz val="9"/>
            <rFont val="Tahoma"/>
          </rPr>
          <t xml:space="preserve">
+40.000 LF
</t>
        </r>
      </text>
    </comment>
    <comment ref="C686" authorId="305" shapeId="0">
      <text>
        <r>
          <rPr>
            <b/>
            <sz val="9"/>
            <rFont val="Tahoma"/>
          </rPr>
          <t>Jana Holíková:</t>
        </r>
        <r>
          <rPr>
            <sz val="9"/>
            <rFont val="Tahoma"/>
          </rPr>
          <t xml:space="preserve">
-79.654 LF
</t>
        </r>
      </text>
    </comment>
    <comment ref="D686" authorId="306" shapeId="0">
      <text>
        <r>
          <rPr>
            <b/>
            <sz val="9"/>
            <rFont val="Tahoma"/>
          </rPr>
          <t>Jana Holíková:</t>
        </r>
        <r>
          <rPr>
            <sz val="9"/>
            <rFont val="Tahoma"/>
          </rPr>
          <t xml:space="preserve">
-79.654 LF
22019/02 +229.484 R
</t>
        </r>
      </text>
    </comment>
    <comment ref="C687" authorId="307" shapeId="0">
      <text>
        <r>
          <rPr>
            <b/>
            <sz val="9"/>
            <rFont val="Tahoma"/>
          </rPr>
          <t>Jana Holíková:</t>
        </r>
        <r>
          <rPr>
            <sz val="9"/>
            <rFont val="Tahoma"/>
          </rPr>
          <t xml:space="preserve">
+261.334 LF
</t>
        </r>
      </text>
    </comment>
    <comment ref="C688" authorId="308" shapeId="0">
      <text>
        <r>
          <rPr>
            <b/>
            <sz val="9"/>
            <rFont val="Tahoma"/>
          </rPr>
          <t>Jana Holíková:</t>
        </r>
        <r>
          <rPr>
            <sz val="9"/>
            <rFont val="Tahoma"/>
          </rPr>
          <t xml:space="preserve">
-180.000 LF
</t>
        </r>
      </text>
    </comment>
    <comment ref="D688" authorId="309" shapeId="0">
      <text>
        <r>
          <rPr>
            <b/>
            <sz val="9"/>
            <rFont val="Tahoma"/>
          </rPr>
          <t>Jana Holíková:</t>
        </r>
        <r>
          <rPr>
            <sz val="9"/>
            <rFont val="Tahoma"/>
          </rPr>
          <t xml:space="preserve">
-180.000 LF
22019/02 +180.000
22029/03 -150.000 
22066/05 -15.000
22123/08 -7.000
</t>
        </r>
      </text>
    </comment>
    <comment ref="C689" authorId="310" shapeId="0">
      <text>
        <r>
          <rPr>
            <b/>
            <sz val="9"/>
            <rFont val="Tahoma"/>
          </rPr>
          <t>Jana Holíková:</t>
        </r>
        <r>
          <rPr>
            <sz val="9"/>
            <rFont val="Tahoma"/>
          </rPr>
          <t xml:space="preserve">
-40.000 LF
</t>
        </r>
      </text>
    </comment>
    <comment ref="D692" authorId="311" shapeId="0">
      <text>
        <r>
          <rPr>
            <b/>
            <sz val="9"/>
            <rFont val="Tahoma"/>
          </rPr>
          <t>Jana Holíková:</t>
        </r>
        <r>
          <rPr>
            <sz val="9"/>
            <rFont val="Tahoma"/>
          </rPr>
          <t xml:space="preserve">
22029/02 +150.000
22066/05 +5.000+10.000
22110/07 +50.000
22123/08 +7.000
22208/12 -150.000
</t>
        </r>
      </text>
    </comment>
    <comment ref="D693" authorId="312" shapeId="0">
      <text>
        <r>
          <rPr>
            <b/>
            <sz val="9"/>
            <rFont val="Tahoma"/>
          </rPr>
          <t>Jana Holíková:</t>
        </r>
        <r>
          <rPr>
            <sz val="9"/>
            <rFont val="Tahoma"/>
          </rPr>
          <t xml:space="preserve">
§ 4344 +298.000
§ 4351 + 70.000
§ 4371 +480.000
§ 4374 +1.249.000
22131/09 
+164.000 § 4344
+395.000 § 4374
+133.600 § 6409 rez
</t>
        </r>
      </text>
    </comment>
    <comment ref="D694" authorId="313" shapeId="0">
      <text>
        <r>
          <rPr>
            <b/>
            <sz val="9"/>
            <rFont val="Tahoma"/>
          </rPr>
          <t>Jana Holíková:</t>
        </r>
        <r>
          <rPr>
            <sz val="9"/>
            <rFont val="Tahoma"/>
          </rPr>
          <t xml:space="preserve">
22527/03 +43.000
</t>
        </r>
      </text>
    </comment>
    <comment ref="D699" authorId="314" shapeId="0">
      <text>
        <r>
          <rPr>
            <b/>
            <sz val="9"/>
            <rFont val="Tahoma"/>
          </rPr>
          <t>Jana Holíková:</t>
        </r>
        <r>
          <rPr>
            <sz val="9"/>
            <rFont val="Tahoma"/>
          </rPr>
          <t xml:space="preserve">
22023/02
-9.000 -2.000 -1.000 (0390)
-121.000 --11.000 -30.000 (2390)
22047/04 
+335.000 +84.000 +31.000 +48.000 +18.000 (0390)
+2.050.000 +20.000 +511.000 +185.000 (2390)
22075/05 +5.529
22139/09 -3.070.000 (0390+2390)
22145/10 +193.000 (0390+2390)
22208/12 -2.250.000 +3.279,30
</t>
        </r>
      </text>
    </comment>
    <comment ref="D700" authorId="315" shapeId="0">
      <text>
        <r>
          <rPr>
            <b/>
            <sz val="9"/>
            <rFont val="Tahoma"/>
          </rPr>
          <t>Jana Holíková:</t>
        </r>
        <r>
          <rPr>
            <sz val="9"/>
            <rFont val="Tahoma"/>
          </rPr>
          <t xml:space="preserve">
22023/02
-22.000 -6.000 -2.000 (2391)
22047/04 
+112.000 +28.000 +10.000 +3.000 +3.000 +7.000 +4.000 +5.000 +3.000 +13.000 (1391)
+385.000 +2.000 +130.300 +34.700 (2391)
22139/09 -585.000 (1391+2391)
</t>
        </r>
      </text>
    </comment>
    <comment ref="D701" authorId="316" shapeId="0">
      <text>
        <r>
          <rPr>
            <b/>
            <sz val="9"/>
            <rFont val="Tahoma"/>
          </rPr>
          <t>Jana Holíková:</t>
        </r>
        <r>
          <rPr>
            <sz val="9"/>
            <rFont val="Tahoma"/>
          </rPr>
          <t xml:space="preserve">
22023/02
-9.000 -2.000 -1.000 (1393)
-89.000 -22.000 -7.500 (2393)
22047/04 
+110.000 +26.000 +1.000 +20.000 (1393)
+1.106.000 +100.000 +277.000 +100.000 (2393)
22139/09 -1.550.000 (1393+2393)
22145/10 +295.000 (2393)
</t>
        </r>
      </text>
    </comment>
    <comment ref="D704" authorId="317" shapeId="0">
      <text>
        <r>
          <rPr>
            <b/>
            <sz val="9"/>
            <rFont val="Tahoma"/>
          </rPr>
          <t>Jana Holíková:</t>
        </r>
        <r>
          <rPr>
            <sz val="9"/>
            <rFont val="Tahoma"/>
          </rPr>
          <t xml:space="preserve">
22070/05 -12.000
22071/05 -60.000
</t>
        </r>
      </text>
    </comment>
    <comment ref="D705" authorId="318" shapeId="0">
      <text>
        <r>
          <rPr>
            <b/>
            <sz val="9"/>
            <rFont val="Tahoma"/>
          </rPr>
          <t>Jana Holíková:</t>
        </r>
        <r>
          <rPr>
            <sz val="9"/>
            <rFont val="Tahoma"/>
          </rPr>
          <t xml:space="preserve">
22169/11 +45.000
</t>
        </r>
      </text>
    </comment>
    <comment ref="D707" authorId="319" shapeId="0">
      <text>
        <r>
          <rPr>
            <b/>
            <sz val="9"/>
            <rFont val="Tahoma"/>
          </rPr>
          <t>Jana Holíková:</t>
        </r>
        <r>
          <rPr>
            <sz val="9"/>
            <rFont val="Tahoma"/>
          </rPr>
          <t xml:space="preserve">
22136/09 +5.000
</t>
        </r>
      </text>
    </comment>
    <comment ref="D708" authorId="320" shapeId="0">
      <text>
        <r>
          <rPr>
            <b/>
            <sz val="9"/>
            <rFont val="Tahoma"/>
          </rPr>
          <t>Jana Holíková:</t>
        </r>
        <r>
          <rPr>
            <sz val="9"/>
            <rFont val="Tahoma"/>
          </rPr>
          <t xml:space="preserve">
22136/09 -5.000
22169/11 -45.000
</t>
        </r>
      </text>
    </comment>
    <comment ref="D712" authorId="321" shapeId="0">
      <text>
        <r>
          <rPr>
            <b/>
            <sz val="9"/>
            <rFont val="Tahoma"/>
          </rPr>
          <t>Jana Holíková:</t>
        </r>
        <r>
          <rPr>
            <sz val="9"/>
            <rFont val="Tahoma"/>
          </rPr>
          <t xml:space="preserve">
22022/02 -750.120
22055/04 -49.724
22178/11 -+500.000
</t>
        </r>
      </text>
    </comment>
    <comment ref="D713" authorId="322" shapeId="0">
      <text>
        <r>
          <rPr>
            <b/>
            <sz val="9"/>
            <rFont val="Tahoma"/>
          </rPr>
          <t>Jana Holíková:</t>
        </r>
        <r>
          <rPr>
            <sz val="9"/>
            <rFont val="Tahoma"/>
          </rPr>
          <t xml:space="preserve">
22108/07 +50.000
</t>
        </r>
      </text>
    </comment>
    <comment ref="D714" authorId="323" shapeId="0">
      <text>
        <r>
          <rPr>
            <b/>
            <sz val="9"/>
            <rFont val="Tahoma"/>
          </rPr>
          <t>Jana Holíková:</t>
        </r>
        <r>
          <rPr>
            <sz val="9"/>
            <rFont val="Tahoma"/>
          </rPr>
          <t xml:space="preserve">
22055/04 +122.376
22092/06 +88.030
22178/11 
-214.010 -9.104,96 -1.210 -2.420
22204/12 -3.663.880
22210/12 +214.040 oprRO178
</t>
        </r>
      </text>
    </comment>
    <comment ref="D719" authorId="324" shapeId="0">
      <text>
        <r>
          <rPr>
            <b/>
            <sz val="9"/>
            <rFont val="Tahoma"/>
          </rPr>
          <t>Jana Holíková:</t>
        </r>
        <r>
          <rPr>
            <sz val="9"/>
            <rFont val="Tahoma"/>
          </rPr>
          <t xml:space="preserve">
+40.000 zost.smluv
</t>
        </r>
      </text>
    </comment>
    <comment ref="C720" authorId="325" shapeId="0">
      <text>
        <r>
          <rPr>
            <b/>
            <sz val="9"/>
            <rFont val="Tahoma"/>
          </rPr>
          <t xml:space="preserve"> :</t>
        </r>
        <r>
          <rPr>
            <sz val="9"/>
            <rFont val="Tahoma"/>
          </rPr>
          <t xml:space="preserve">
Eva Bártková:
04.10.2021:
vč.valorizace tarifů
598.000 Kč
</t>
        </r>
      </text>
    </comment>
    <comment ref="D720" authorId="326" shapeId="0">
      <text>
        <r>
          <rPr>
            <b/>
            <sz val="9"/>
            <rFont val="Tahoma"/>
          </rPr>
          <t>Jana Holíková:</t>
        </r>
        <r>
          <rPr>
            <sz val="9"/>
            <rFont val="Tahoma"/>
          </rPr>
          <t xml:space="preserve">
22022/02 -522.002
</t>
        </r>
      </text>
    </comment>
    <comment ref="D721" authorId="327" shapeId="0">
      <text>
        <r>
          <rPr>
            <b/>
            <sz val="9"/>
            <rFont val="Tahoma"/>
          </rPr>
          <t>Jana Holíková:</t>
        </r>
        <r>
          <rPr>
            <sz val="9"/>
            <rFont val="Tahoma"/>
          </rPr>
          <t xml:space="preserve">
22046/03 +100.000
22114/08 +160.000
22163/11 +1.683 poj.pl
-10.000 na zelené město
</t>
        </r>
      </text>
    </comment>
    <comment ref="D722" authorId="328" shapeId="0">
      <text>
        <r>
          <rPr>
            <b/>
            <sz val="9"/>
            <rFont val="Tahoma"/>
          </rPr>
          <t>Jana Holíková:</t>
        </r>
        <r>
          <rPr>
            <sz val="9"/>
            <rFont val="Tahoma"/>
          </rPr>
          <t xml:space="preserve">
22017/02 +2.500.000
22028/03 +1.760.000
22054/04 -220.000 tsm boxy
22062/04 -21.660.000
22178/11 -1.000.000
22210/12 -214.010 (opr.RO178)
</t>
        </r>
      </text>
    </comment>
    <comment ref="C724" authorId="329" shapeId="0">
      <text>
        <r>
          <rPr>
            <b/>
            <sz val="9"/>
            <rFont val="Tahoma"/>
          </rPr>
          <t>Jana Holíková:</t>
        </r>
        <r>
          <rPr>
            <sz val="9"/>
            <rFont val="Tahoma"/>
          </rPr>
          <t xml:space="preserve">
není v celkovém součtu,
bude napraveno v UR v 01
</t>
        </r>
      </text>
    </comment>
    <comment ref="D725" authorId="330" shapeId="0">
      <text>
        <r>
          <rPr>
            <b/>
            <sz val="9"/>
            <rFont val="Tahoma"/>
          </rPr>
          <t>Jana Holíková:</t>
        </r>
        <r>
          <rPr>
            <sz val="9"/>
            <rFont val="Tahoma"/>
          </rPr>
          <t xml:space="preserve">
22006/01 +150.000
oprava SR
</t>
        </r>
      </text>
    </comment>
    <comment ref="D726" authorId="331" shapeId="0">
      <text>
        <r>
          <rPr>
            <b/>
            <sz val="9"/>
            <rFont val="Tahoma"/>
          </rPr>
          <t>Jana Holíková:</t>
        </r>
        <r>
          <rPr>
            <sz val="9"/>
            <rFont val="Tahoma"/>
          </rPr>
          <t xml:space="preserve">
22006/01 +150.000
oprava SR
</t>
        </r>
      </text>
    </comment>
    <comment ref="D727" authorId="332" shapeId="0">
      <text>
        <r>
          <rPr>
            <b/>
            <sz val="9"/>
            <rFont val="Tahoma"/>
          </rPr>
          <t>Jana Holíková:</t>
        </r>
        <r>
          <rPr>
            <sz val="9"/>
            <rFont val="Tahoma"/>
          </rPr>
          <t xml:space="preserve">
22124/09 +50.000
</t>
        </r>
      </text>
    </comment>
    <comment ref="D728" authorId="333" shapeId="0">
      <text>
        <r>
          <rPr>
            <b/>
            <sz val="9"/>
            <rFont val="Tahoma"/>
          </rPr>
          <t>Jana Holíková:</t>
        </r>
        <r>
          <rPr>
            <sz val="9"/>
            <rFont val="Tahoma"/>
          </rPr>
          <t xml:space="preserve">
22125/09 +45.000
</t>
        </r>
      </text>
    </comment>
    <comment ref="D731" authorId="334" shapeId="0">
      <text>
        <r>
          <rPr>
            <b/>
            <sz val="9"/>
            <rFont val="Tahoma"/>
          </rPr>
          <t>Jana Holíková:</t>
        </r>
        <r>
          <rPr>
            <sz val="9"/>
            <rFont val="Tahoma"/>
          </rPr>
          <t xml:space="preserve">
22208/12 -100.000 
</t>
        </r>
      </text>
    </comment>
    <comment ref="D735" authorId="335" shapeId="0">
      <text>
        <r>
          <rPr>
            <b/>
            <sz val="9"/>
            <rFont val="Tahoma"/>
          </rPr>
          <t>Jana Holíková:</t>
        </r>
        <r>
          <rPr>
            <sz val="9"/>
            <rFont val="Tahoma"/>
          </rPr>
          <t xml:space="preserve">
22555/06 +11.500.000
22149/10 -6.519.951
22619/10 +4.800
</t>
        </r>
      </text>
    </comment>
    <comment ref="D736" authorId="336" shapeId="0">
      <text>
        <r>
          <rPr>
            <b/>
            <sz val="9"/>
            <rFont val="Tahoma"/>
          </rPr>
          <t>Jana Holíková:</t>
        </r>
        <r>
          <rPr>
            <sz val="9"/>
            <rFont val="Tahoma"/>
          </rPr>
          <t xml:space="preserve">
22063/05 +1.500.000
22555/06 -11.500.000
</t>
        </r>
      </text>
    </comment>
    <comment ref="D737" authorId="337" shapeId="0">
      <text>
        <r>
          <rPr>
            <b/>
            <sz val="9"/>
            <rFont val="Tahoma"/>
          </rPr>
          <t>Jana Holíková:</t>
        </r>
        <r>
          <rPr>
            <sz val="9"/>
            <rFont val="Tahoma"/>
          </rPr>
          <t xml:space="preserve">
22634/11 +70.555,10
+183.152,86 z provoz.přísp.
</t>
        </r>
      </text>
    </comment>
    <comment ref="D743" authorId="338" shapeId="0">
      <text>
        <r>
          <rPr>
            <b/>
            <sz val="9"/>
            <rFont val="Tahoma"/>
          </rPr>
          <t>Jana Holíková:</t>
        </r>
        <r>
          <rPr>
            <sz val="9"/>
            <rFont val="Tahoma"/>
          </rPr>
          <t xml:space="preserve">
22063/04 +1.500.000
22063/05 -1.500.000
</t>
        </r>
      </text>
    </comment>
    <comment ref="D745" authorId="339" shapeId="0">
      <text>
        <r>
          <rPr>
            <b/>
            <sz val="9"/>
            <rFont val="Tahoma"/>
          </rPr>
          <t>Jana Holíková:</t>
        </r>
        <r>
          <rPr>
            <sz val="9"/>
            <rFont val="Tahoma"/>
          </rPr>
          <t xml:space="preserve">
22511.03 -10.745
22519/04 -4.840
22540/05 -967
22601/10 -151.391,92
22613/10 -5.052,96
22619/10 -4.800
22634/11  -70.555,10
z 5222 na 6122
22642/11 -8.228
22662/12 -15.185
-
</t>
        </r>
      </text>
    </comment>
    <comment ref="D746" authorId="340" shapeId="0">
      <text>
        <r>
          <rPr>
            <b/>
            <sz val="9"/>
            <rFont val="Tahoma"/>
          </rPr>
          <t>Jana Holíková:</t>
        </r>
        <r>
          <rPr>
            <sz val="9"/>
            <rFont val="Tahoma"/>
          </rPr>
          <t xml:space="preserve">
22511.03 +10.745
22519/04 +4.840
22540/05 +967
22601/10 +151.391,92
22613/10 +5.052,96
22642/11 +8.228
22662/12 +15.185
</t>
        </r>
      </text>
    </comment>
    <comment ref="D751" authorId="341" shapeId="0">
      <text>
        <r>
          <rPr>
            <b/>
            <sz val="9"/>
            <rFont val="Tahoma"/>
          </rPr>
          <t>Jana Holíková:</t>
        </r>
        <r>
          <rPr>
            <sz val="9"/>
            <rFont val="Tahoma"/>
          </rPr>
          <t xml:space="preserve">
22563.07 -850.000
</t>
        </r>
      </text>
    </comment>
    <comment ref="D753" authorId="342" shapeId="0">
      <text>
        <r>
          <rPr>
            <b/>
            <sz val="9"/>
            <rFont val="Tahoma"/>
          </rPr>
          <t>Jana Holíková:</t>
        </r>
        <r>
          <rPr>
            <sz val="9"/>
            <rFont val="Tahoma"/>
          </rPr>
          <t xml:space="preserve">
22563.07 +1.750.000
22637/11 +200.000
22217/12 -33.227,82
</t>
        </r>
      </text>
    </comment>
    <comment ref="D754" authorId="343" shapeId="0">
      <text>
        <r>
          <rPr>
            <b/>
            <sz val="9"/>
            <rFont val="Tahoma"/>
          </rPr>
          <t>Jana Holíková:</t>
        </r>
        <r>
          <rPr>
            <sz val="9"/>
            <rFont val="Tahoma"/>
          </rPr>
          <t xml:space="preserve">
+60.000 GV
</t>
        </r>
      </text>
    </comment>
    <comment ref="D756" authorId="344" shapeId="0">
      <text>
        <r>
          <rPr>
            <b/>
            <sz val="9"/>
            <rFont val="Tahoma"/>
          </rPr>
          <t>Jana Holíková:</t>
        </r>
        <r>
          <rPr>
            <sz val="9"/>
            <rFont val="Tahoma"/>
          </rPr>
          <t xml:space="preserve">
22563.07 -150.000
22637/11 -200.000
-60.000 GV
</t>
        </r>
      </text>
    </comment>
    <comment ref="D758" authorId="345" shapeId="0">
      <text>
        <r>
          <rPr>
            <b/>
            <sz val="9"/>
            <rFont val="Tahoma"/>
          </rPr>
          <t>Jana Holíková:</t>
        </r>
        <r>
          <rPr>
            <sz val="9"/>
            <rFont val="Tahoma"/>
          </rPr>
          <t xml:space="preserve">
22563.07 -750.000
</t>
        </r>
      </text>
    </comment>
    <comment ref="D759" authorId="346" shapeId="0">
      <text>
        <r>
          <rPr>
            <b/>
            <sz val="9"/>
            <rFont val="Tahoma"/>
          </rPr>
          <t>Jana Holíková:</t>
        </r>
        <r>
          <rPr>
            <sz val="9"/>
            <rFont val="Tahoma"/>
          </rPr>
          <t xml:space="preserve">
22099/07 +200.000
</t>
        </r>
      </text>
    </comment>
    <comment ref="D762" authorId="347" shapeId="0">
      <text>
        <r>
          <rPr>
            <b/>
            <sz val="9"/>
            <rFont val="Tahoma"/>
          </rPr>
          <t>Jana Holíková:</t>
        </r>
        <r>
          <rPr>
            <sz val="9"/>
            <rFont val="Tahoma"/>
          </rPr>
          <t xml:space="preserve">
22063/05 -1.500.000 hř44
22107/07 -500.000 hř44
</t>
        </r>
      </text>
    </comment>
    <comment ref="D763" authorId="348" shapeId="0">
      <text>
        <r>
          <rPr>
            <b/>
            <sz val="9"/>
            <rFont val="Tahoma"/>
          </rPr>
          <t>Jana Holíková:</t>
        </r>
        <r>
          <rPr>
            <sz val="9"/>
            <rFont val="Tahoma"/>
          </rPr>
          <t xml:space="preserve">
22027/02 -17.500.000
</t>
        </r>
      </text>
    </comment>
    <comment ref="D764" authorId="349" shapeId="0">
      <text>
        <r>
          <rPr>
            <b/>
            <sz val="9"/>
            <rFont val="Tahoma"/>
          </rPr>
          <t>Jana Holíková:</t>
        </r>
        <r>
          <rPr>
            <sz val="9"/>
            <rFont val="Tahoma"/>
          </rPr>
          <t xml:space="preserve">
22027/02 -26.500.000
</t>
        </r>
      </text>
    </comment>
    <comment ref="D765" authorId="350" shapeId="0">
      <text>
        <r>
          <rPr>
            <b/>
            <sz val="9"/>
            <rFont val="Tahoma"/>
          </rPr>
          <t>Jana Holíková:</t>
        </r>
        <r>
          <rPr>
            <sz val="9"/>
            <rFont val="Tahoma"/>
          </rPr>
          <t xml:space="preserve">
22018/02 +2.000.000 =
+40.000 úz 17968 1071
+800.000 úz 17969 1075
+1.160.000 bez úz 1071
22583/08 bez úz NáZ1071
+300.000
</t>
        </r>
      </text>
    </comment>
    <comment ref="D766" authorId="351" shapeId="0">
      <text>
        <r>
          <rPr>
            <b/>
            <sz val="9"/>
            <rFont val="Tahoma"/>
          </rPr>
          <t>Jana Holíková:</t>
        </r>
        <r>
          <rPr>
            <sz val="9"/>
            <rFont val="Tahoma"/>
          </rPr>
          <t xml:space="preserve">
22072/05 +17.200.000
+1.500.000 GV
</t>
        </r>
      </text>
    </comment>
    <comment ref="D769" authorId="352" shapeId="0">
      <text>
        <r>
          <rPr>
            <b/>
            <sz val="9"/>
            <rFont val="Tahoma"/>
          </rPr>
          <t>Jana Holíková:</t>
        </r>
        <r>
          <rPr>
            <sz val="9"/>
            <rFont val="Tahoma"/>
          </rPr>
          <t xml:space="preserve">
-50.000 GV
</t>
        </r>
      </text>
    </comment>
    <comment ref="D770" authorId="353" shapeId="0">
      <text>
        <r>
          <rPr>
            <b/>
            <sz val="9"/>
            <rFont val="Tahoma"/>
          </rPr>
          <t>Jana Holíková:</t>
        </r>
        <r>
          <rPr>
            <sz val="9"/>
            <rFont val="Tahoma"/>
          </rPr>
          <t xml:space="preserve">
-150.000 GV
</t>
        </r>
      </text>
    </comment>
    <comment ref="D772" authorId="354" shapeId="0">
      <text>
        <r>
          <rPr>
            <b/>
            <sz val="9"/>
            <rFont val="Tahoma"/>
          </rPr>
          <t>Jana Holíková:</t>
        </r>
        <r>
          <rPr>
            <sz val="9"/>
            <rFont val="Tahoma"/>
          </rPr>
          <t xml:space="preserve">
22077/06 -2.000.000
</t>
        </r>
      </text>
    </comment>
    <comment ref="D774" authorId="355" shapeId="0">
      <text>
        <r>
          <rPr>
            <b/>
            <sz val="9"/>
            <rFont val="Tahoma"/>
          </rPr>
          <t>Jana Holíková:</t>
        </r>
        <r>
          <rPr>
            <sz val="9"/>
            <rFont val="Tahoma"/>
          </rPr>
          <t xml:space="preserve">
-200.000 GV
</t>
        </r>
      </text>
    </comment>
    <comment ref="D776" authorId="356" shapeId="0">
      <text>
        <r>
          <rPr>
            <b/>
            <sz val="9"/>
            <rFont val="Tahoma"/>
          </rPr>
          <t>Jana Holíková:</t>
        </r>
        <r>
          <rPr>
            <sz val="9"/>
            <rFont val="Tahoma"/>
          </rPr>
          <t xml:space="preserve">
22027/02 -1.800.000
</t>
        </r>
      </text>
    </comment>
    <comment ref="D777" authorId="357" shapeId="0">
      <text>
        <r>
          <rPr>
            <b/>
            <sz val="9"/>
            <rFont val="Tahoma"/>
          </rPr>
          <t>Jana Holíková:</t>
        </r>
        <r>
          <rPr>
            <sz val="9"/>
            <rFont val="Tahoma"/>
          </rPr>
          <t xml:space="preserve">
-400.000 GV
</t>
        </r>
      </text>
    </comment>
    <comment ref="D778" authorId="358" shapeId="0">
      <text>
        <r>
          <rPr>
            <b/>
            <sz val="9"/>
            <rFont val="Tahoma"/>
          </rPr>
          <t>Jana Holíková:</t>
        </r>
        <r>
          <rPr>
            <sz val="9"/>
            <rFont val="Tahoma"/>
          </rPr>
          <t xml:space="preserve">
-50.000 GV
</t>
        </r>
      </text>
    </comment>
    <comment ref="D780" authorId="359" shapeId="0">
      <text>
        <r>
          <rPr>
            <b/>
            <sz val="9"/>
            <rFont val="Tahoma"/>
          </rPr>
          <t>Jana Holíková:</t>
        </r>
        <r>
          <rPr>
            <sz val="9"/>
            <rFont val="Tahoma"/>
          </rPr>
          <t xml:space="preserve">
-100.000 GV
</t>
        </r>
      </text>
    </comment>
    <comment ref="D782" authorId="360" shapeId="0">
      <text>
        <r>
          <rPr>
            <b/>
            <sz val="9"/>
            <rFont val="Tahoma"/>
          </rPr>
          <t>Jana Holíková:</t>
        </r>
        <r>
          <rPr>
            <sz val="9"/>
            <rFont val="Tahoma"/>
          </rPr>
          <t xml:space="preserve">
-250.000 GV
</t>
        </r>
      </text>
    </comment>
    <comment ref="D784" authorId="361" shapeId="0">
      <text>
        <r>
          <rPr>
            <b/>
            <sz val="9"/>
            <rFont val="Tahoma"/>
          </rPr>
          <t>Jana Holíková:</t>
        </r>
        <r>
          <rPr>
            <sz val="9"/>
            <rFont val="Tahoma"/>
          </rPr>
          <t xml:space="preserve">
-100.000 GV
</t>
        </r>
      </text>
    </comment>
    <comment ref="D789" authorId="362" shapeId="0">
      <text>
        <r>
          <rPr>
            <b/>
            <sz val="9"/>
            <rFont val="Tahoma"/>
          </rPr>
          <t>Jana Holíková:</t>
        </r>
        <r>
          <rPr>
            <sz val="9"/>
            <rFont val="Tahoma"/>
          </rPr>
          <t xml:space="preserve">
22583.08 -300.000
-200.000 GV
</t>
        </r>
      </text>
    </comment>
    <comment ref="D792" authorId="363" shapeId="0">
      <text>
        <r>
          <rPr>
            <b/>
            <sz val="9"/>
            <rFont val="Tahoma"/>
          </rPr>
          <t>Jana Holíková:</t>
        </r>
        <r>
          <rPr>
            <sz val="9"/>
            <rFont val="Tahoma"/>
          </rPr>
          <t xml:space="preserve">
22063/04 -1.500.000
22063/05 +1.500.000
</t>
        </r>
      </text>
    </comment>
    <comment ref="D796" authorId="364" shapeId="0">
      <text>
        <r>
          <rPr>
            <b/>
            <sz val="9"/>
            <rFont val="Tahoma"/>
          </rPr>
          <t>Jana Holíková:</t>
        </r>
        <r>
          <rPr>
            <sz val="9"/>
            <rFont val="Tahoma"/>
          </rPr>
          <t xml:space="preserve">
22635/11 +1.000.000
22660/12 +300.000
</t>
        </r>
      </text>
    </comment>
    <comment ref="D797" authorId="365" shapeId="0">
      <text>
        <r>
          <rPr>
            <b/>
            <sz val="9"/>
            <rFont val="Tahoma"/>
          </rPr>
          <t>Jana Holíková:</t>
        </r>
        <r>
          <rPr>
            <sz val="9"/>
            <rFont val="Tahoma"/>
          </rPr>
          <t xml:space="preserve">
22635/11 -1.000.000
22660/12 +300.000
</t>
        </r>
      </text>
    </comment>
    <comment ref="D799" authorId="366" shapeId="0">
      <text>
        <r>
          <rPr>
            <b/>
            <sz val="9"/>
            <rFont val="Tahoma"/>
          </rPr>
          <t>Jana Holíková:</t>
        </r>
        <r>
          <rPr>
            <sz val="9"/>
            <rFont val="Tahoma"/>
          </rPr>
          <t xml:space="preserve">
22660/12 -600.000
</t>
        </r>
      </text>
    </comment>
    <comment ref="D800" authorId="367" shapeId="0">
      <text>
        <r>
          <rPr>
            <b/>
            <sz val="9"/>
            <rFont val="Tahoma"/>
          </rPr>
          <t>Jana Holíková:</t>
        </r>
        <r>
          <rPr>
            <sz val="9"/>
            <rFont val="Tahoma"/>
          </rPr>
          <t xml:space="preserve">
33178/11 -50.000
</t>
        </r>
      </text>
    </comment>
    <comment ref="D804" authorId="368" shapeId="0">
      <text>
        <r>
          <rPr>
            <b/>
            <sz val="9"/>
            <rFont val="Tahoma"/>
          </rPr>
          <t>Jana Holíková:</t>
        </r>
        <r>
          <rPr>
            <sz val="9"/>
            <rFont val="Tahoma"/>
          </rPr>
          <t xml:space="preserve">
22107/07 -550.000
</t>
        </r>
      </text>
    </comment>
    <comment ref="D805" authorId="369" shapeId="0">
      <text>
        <r>
          <rPr>
            <b/>
            <sz val="9"/>
            <rFont val="Tahoma"/>
          </rPr>
          <t>Jana Holíková:</t>
        </r>
        <r>
          <rPr>
            <sz val="9"/>
            <rFont val="Tahoma"/>
          </rPr>
          <t xml:space="preserve">
22107/07 -300.000
</t>
        </r>
      </text>
    </comment>
    <comment ref="D806" authorId="370" shapeId="0">
      <text>
        <r>
          <rPr>
            <b/>
            <sz val="9"/>
            <rFont val="Tahoma"/>
          </rPr>
          <t>Jana Holíková:</t>
        </r>
        <r>
          <rPr>
            <sz val="9"/>
            <rFont val="Tahoma"/>
          </rPr>
          <t xml:space="preserve">
22077/06 -500.000
</t>
        </r>
      </text>
    </comment>
    <comment ref="D807" authorId="371" shapeId="0">
      <text>
        <r>
          <rPr>
            <b/>
            <sz val="9"/>
            <rFont val="Tahoma"/>
          </rPr>
          <t>Jana Holíková:</t>
        </r>
        <r>
          <rPr>
            <sz val="9"/>
            <rFont val="Tahoma"/>
          </rPr>
          <t xml:space="preserve">
22178/11 -96.075
</t>
        </r>
      </text>
    </comment>
    <comment ref="D808" authorId="372" shapeId="0">
      <text>
        <r>
          <rPr>
            <b/>
            <sz val="9"/>
            <rFont val="Tahoma"/>
          </rPr>
          <t>Jana Holíková:</t>
        </r>
        <r>
          <rPr>
            <sz val="9"/>
            <rFont val="Tahoma"/>
          </rPr>
          <t xml:space="preserve">
22027/02 -2.500.000
22138/09 +243.869,85
+243.869,85 GV
</t>
        </r>
      </text>
    </comment>
    <comment ref="D809" authorId="373" shapeId="0">
      <text>
        <r>
          <rPr>
            <b/>
            <sz val="9"/>
            <rFont val="Tahoma"/>
          </rPr>
          <t>Jana Holíková:</t>
        </r>
        <r>
          <rPr>
            <sz val="9"/>
            <rFont val="Tahoma"/>
          </rPr>
          <t xml:space="preserve">
22077/06 -400.000
-243869,85 GV
</t>
        </r>
      </text>
    </comment>
    <comment ref="D811" authorId="374" shapeId="0">
      <text>
        <r>
          <rPr>
            <b/>
            <sz val="9"/>
            <rFont val="Tahoma"/>
          </rPr>
          <t>Jana Holíková:</t>
        </r>
        <r>
          <rPr>
            <sz val="9"/>
            <rFont val="Tahoma"/>
          </rPr>
          <t xml:space="preserve">
22018/02 +5.000.000
</t>
        </r>
      </text>
    </comment>
    <comment ref="D812" authorId="375" shapeId="0">
      <text>
        <r>
          <rPr>
            <b/>
            <sz val="9"/>
            <rFont val="Tahoma"/>
          </rPr>
          <t>Jana Holíková:</t>
        </r>
        <r>
          <rPr>
            <sz val="9"/>
            <rFont val="Tahoma"/>
          </rPr>
          <t xml:space="preserve">
22077/06 -360.000
</t>
        </r>
      </text>
    </comment>
    <comment ref="D813" authorId="376" shapeId="0">
      <text>
        <r>
          <rPr>
            <b/>
            <sz val="9"/>
            <rFont val="Tahoma"/>
          </rPr>
          <t>Jana Holíková:</t>
        </r>
        <r>
          <rPr>
            <sz val="9"/>
            <rFont val="Tahoma"/>
          </rPr>
          <t xml:space="preserve">
+200.000 GV
</t>
        </r>
      </text>
    </comment>
    <comment ref="D816" authorId="377" shapeId="0">
      <text>
        <r>
          <rPr>
            <b/>
            <sz val="9"/>
            <rFont val="Tahoma"/>
          </rPr>
          <t>Jana Holíková:</t>
        </r>
        <r>
          <rPr>
            <sz val="9"/>
            <rFont val="Tahoma"/>
          </rPr>
          <t xml:space="preserve">
22564.07 +300.000
</t>
        </r>
      </text>
    </comment>
    <comment ref="D817" authorId="378" shapeId="0">
      <text>
        <r>
          <rPr>
            <b/>
            <sz val="9"/>
            <rFont val="Tahoma"/>
          </rPr>
          <t>Jana Holíková:</t>
        </r>
        <r>
          <rPr>
            <sz val="9"/>
            <rFont val="Tahoma"/>
          </rPr>
          <t xml:space="preserve">
22564.07 -300.000
</t>
        </r>
      </text>
    </comment>
    <comment ref="D819" authorId="379" shapeId="0">
      <text>
        <r>
          <rPr>
            <b/>
            <sz val="9"/>
            <rFont val="Tahoma"/>
          </rPr>
          <t>Jana Holíková:</t>
        </r>
        <r>
          <rPr>
            <sz val="9"/>
            <rFont val="Tahoma"/>
          </rPr>
          <t xml:space="preserve">
22506.02 -350.000
22610/10 +400.000
</t>
        </r>
      </text>
    </comment>
    <comment ref="D821" authorId="380" shapeId="0">
      <text>
        <r>
          <rPr>
            <b/>
            <sz val="9"/>
            <rFont val="Tahoma"/>
          </rPr>
          <t>Jana Holíková:</t>
        </r>
        <r>
          <rPr>
            <sz val="9"/>
            <rFont val="Tahoma"/>
          </rPr>
          <t xml:space="preserve">
-100.000 GV
-400.000 GV
</t>
        </r>
      </text>
    </comment>
    <comment ref="D822" authorId="381" shapeId="0">
      <text>
        <r>
          <rPr>
            <b/>
            <sz val="9"/>
            <rFont val="Tahoma"/>
          </rPr>
          <t>Jana Holíková:</t>
        </r>
        <r>
          <rPr>
            <sz val="9"/>
            <rFont val="Tahoma"/>
          </rPr>
          <t xml:space="preserve">
22583/08 -100000
22610/10 +400.000
+400.000 GV
</t>
        </r>
      </text>
    </comment>
    <comment ref="D823" authorId="382" shapeId="0">
      <text>
        <r>
          <rPr>
            <b/>
            <sz val="9"/>
            <rFont val="Tahoma"/>
          </rPr>
          <t>Jana Holíková:</t>
        </r>
        <r>
          <rPr>
            <sz val="9"/>
            <rFont val="Tahoma"/>
          </rPr>
          <t xml:space="preserve">
22583/08 -100.000 +200.000
22633/11 z 5166 na 6121
</t>
        </r>
      </text>
    </comment>
    <comment ref="D825" authorId="383" shapeId="0">
      <text>
        <r>
          <rPr>
            <b/>
            <sz val="9"/>
            <rFont val="Tahoma"/>
          </rPr>
          <t>Jana Holíková:</t>
        </r>
        <r>
          <rPr>
            <sz val="9"/>
            <rFont val="Tahoma"/>
          </rPr>
          <t xml:space="preserve">
22506.02 +350.000
</t>
        </r>
      </text>
    </comment>
    <comment ref="D826" authorId="384" shapeId="0">
      <text>
        <r>
          <rPr>
            <b/>
            <sz val="9"/>
            <rFont val="Tahoma"/>
          </rPr>
          <t>Jana Holíková:</t>
        </r>
        <r>
          <rPr>
            <sz val="9"/>
            <rFont val="Tahoma"/>
          </rPr>
          <t xml:space="preserve">
22022/02 -54.129
</t>
        </r>
      </text>
    </comment>
    <comment ref="D827" authorId="385" shapeId="0">
      <text>
        <r>
          <rPr>
            <b/>
            <sz val="9"/>
            <rFont val="Tahoma"/>
          </rPr>
          <t>Jana Holíková:</t>
        </r>
        <r>
          <rPr>
            <sz val="9"/>
            <rFont val="Tahoma"/>
          </rPr>
          <t xml:space="preserve">
22178/11 -100.000
</t>
        </r>
      </text>
    </comment>
    <comment ref="D829" authorId="386" shapeId="0">
      <text>
        <r>
          <rPr>
            <b/>
            <sz val="9"/>
            <rFont val="Tahoma"/>
          </rPr>
          <t>Jana Holíková:</t>
        </r>
        <r>
          <rPr>
            <sz val="9"/>
            <rFont val="Tahoma"/>
          </rPr>
          <t xml:space="preserve">
22107/07 -150.000
</t>
        </r>
      </text>
    </comment>
    <comment ref="D832" authorId="387" shapeId="0">
      <text>
        <r>
          <rPr>
            <b/>
            <sz val="9"/>
            <rFont val="Tahoma"/>
          </rPr>
          <t>Jana Holíková:</t>
        </r>
        <r>
          <rPr>
            <sz val="9"/>
            <rFont val="Tahoma"/>
          </rPr>
          <t xml:space="preserve">
22187/11 -217.967
</t>
        </r>
      </text>
    </comment>
    <comment ref="D840" authorId="388" shapeId="0">
      <text>
        <r>
          <rPr>
            <b/>
            <sz val="9"/>
            <rFont val="Tahoma"/>
          </rPr>
          <t>Jana Holíková:</t>
        </r>
        <r>
          <rPr>
            <sz val="9"/>
            <rFont val="Tahoma"/>
          </rPr>
          <t xml:space="preserve">
+100.000 GV
</t>
        </r>
      </text>
    </comment>
    <comment ref="D841" authorId="389" shapeId="0">
      <text>
        <r>
          <rPr>
            <b/>
            <sz val="9"/>
            <rFont val="Tahoma"/>
          </rPr>
          <t>Jana Holíková:</t>
        </r>
        <r>
          <rPr>
            <sz val="9"/>
            <rFont val="Tahoma"/>
          </rPr>
          <t xml:space="preserve">
22107/07 -250.000
</t>
        </r>
      </text>
    </comment>
    <comment ref="D842" authorId="390" shapeId="0">
      <text>
        <r>
          <rPr>
            <b/>
            <sz val="9"/>
            <rFont val="Tahoma"/>
          </rPr>
          <t>Jana Holíková:</t>
        </r>
        <r>
          <rPr>
            <sz val="9"/>
            <rFont val="Tahoma"/>
          </rPr>
          <t xml:space="preserve">
22107/07 -300.000
</t>
        </r>
      </text>
    </comment>
    <comment ref="D843" authorId="391" shapeId="0">
      <text>
        <r>
          <rPr>
            <b/>
            <sz val="9"/>
            <rFont val="Tahoma"/>
          </rPr>
          <t>Jana Holíková:</t>
        </r>
        <r>
          <rPr>
            <sz val="9"/>
            <rFont val="Tahoma"/>
          </rPr>
          <t xml:space="preserve">
22077/06 -200.000
</t>
        </r>
      </text>
    </comment>
    <comment ref="D849" authorId="392" shapeId="0">
      <text>
        <r>
          <rPr>
            <b/>
            <sz val="9"/>
            <rFont val="Tahoma"/>
          </rPr>
          <t>Jana Holíková:</t>
        </r>
        <r>
          <rPr>
            <sz val="9"/>
            <rFont val="Tahoma"/>
          </rPr>
          <t xml:space="preserve">
-200.000 GV
</t>
        </r>
      </text>
    </comment>
    <comment ref="D851" authorId="393" shapeId="0">
      <text>
        <r>
          <rPr>
            <b/>
            <sz val="9"/>
            <rFont val="Tahoma"/>
          </rPr>
          <t>Jana Holíková:</t>
        </r>
        <r>
          <rPr>
            <sz val="9"/>
            <rFont val="Tahoma"/>
          </rPr>
          <t xml:space="preserve">
+55.000 GV
</t>
        </r>
      </text>
    </comment>
    <comment ref="D852" authorId="394" shapeId="0">
      <text>
        <r>
          <rPr>
            <b/>
            <sz val="9"/>
            <rFont val="Tahoma"/>
          </rPr>
          <t>Jana Holíková:</t>
        </r>
        <r>
          <rPr>
            <sz val="9"/>
            <rFont val="Tahoma"/>
          </rPr>
          <t xml:space="preserve">
22661/12 +20.000
-20.000 GV
</t>
        </r>
      </text>
    </comment>
    <comment ref="D853" authorId="395" shapeId="0">
      <text>
        <r>
          <rPr>
            <b/>
            <sz val="9"/>
            <rFont val="Tahoma"/>
          </rPr>
          <t>Jana Holíková:</t>
        </r>
        <r>
          <rPr>
            <sz val="9"/>
            <rFont val="Tahoma"/>
          </rPr>
          <t xml:space="preserve">
22661/12 -20.000
+20.000 GV
</t>
        </r>
      </text>
    </comment>
    <comment ref="D856" authorId="396" shapeId="0">
      <text>
        <r>
          <rPr>
            <b/>
            <sz val="9"/>
            <rFont val="Tahoma"/>
          </rPr>
          <t>Jana Holíková:</t>
        </r>
        <r>
          <rPr>
            <sz val="9"/>
            <rFont val="Tahoma"/>
          </rPr>
          <t xml:space="preserve">
22141/09 +1.100.000
+1.100.000 GV
</t>
        </r>
      </text>
    </comment>
    <comment ref="D857" authorId="397" shapeId="0">
      <text>
        <r>
          <rPr>
            <b/>
            <sz val="9"/>
            <rFont val="Tahoma"/>
          </rPr>
          <t>Jana Holíková:</t>
        </r>
        <r>
          <rPr>
            <sz val="9"/>
            <rFont val="Tahoma"/>
          </rPr>
          <t xml:space="preserve">
22027/02 -3.400.000
</t>
        </r>
      </text>
    </comment>
    <comment ref="D858" authorId="398" shapeId="0">
      <text>
        <r>
          <rPr>
            <b/>
            <sz val="9"/>
            <rFont val="Tahoma"/>
          </rPr>
          <t>Jana Holíková:</t>
        </r>
        <r>
          <rPr>
            <sz val="9"/>
            <rFont val="Tahoma"/>
          </rPr>
          <t xml:space="preserve">
22027/02 -2.600.000
</t>
        </r>
      </text>
    </comment>
    <comment ref="D859" authorId="399" shapeId="0">
      <text>
        <r>
          <rPr>
            <b/>
            <sz val="9"/>
            <rFont val="Tahoma"/>
          </rPr>
          <t>Jana Holíková:</t>
        </r>
        <r>
          <rPr>
            <sz val="9"/>
            <rFont val="Tahoma"/>
          </rPr>
          <t xml:space="preserve">
22027/02 -2.600.000
</t>
        </r>
      </text>
    </comment>
    <comment ref="D860" authorId="400" shapeId="0">
      <text>
        <r>
          <rPr>
            <b/>
            <sz val="9"/>
            <rFont val="Tahoma"/>
          </rPr>
          <t>Jana Holíková:</t>
        </r>
        <r>
          <rPr>
            <sz val="9"/>
            <rFont val="Tahoma"/>
          </rPr>
          <t xml:space="preserve">
22027/02 -2.600.000
</t>
        </r>
      </text>
    </comment>
    <comment ref="D861" authorId="401" shapeId="0">
      <text>
        <r>
          <rPr>
            <b/>
            <sz val="9"/>
            <rFont val="Tahoma"/>
          </rPr>
          <t>Jana Holíková:</t>
        </r>
        <r>
          <rPr>
            <sz val="9"/>
            <rFont val="Tahoma"/>
          </rPr>
          <t xml:space="preserve">
22564.07 -35.000
-1.135.000 GV
</t>
        </r>
      </text>
    </comment>
    <comment ref="D862" authorId="402" shapeId="0">
      <text>
        <r>
          <rPr>
            <b/>
            <sz val="9"/>
            <rFont val="Tahoma"/>
          </rPr>
          <t>Jana Holíková:</t>
        </r>
        <r>
          <rPr>
            <sz val="9"/>
            <rFont val="Tahoma"/>
          </rPr>
          <t xml:space="preserve">
22027/02 -1.800.000
</t>
        </r>
      </text>
    </comment>
    <comment ref="D866" authorId="403" shapeId="0">
      <text>
        <r>
          <rPr>
            <b/>
            <sz val="9"/>
            <rFont val="Tahoma"/>
          </rPr>
          <t>Jana Holíková:</t>
        </r>
        <r>
          <rPr>
            <sz val="9"/>
            <rFont val="Tahoma"/>
          </rPr>
          <t xml:space="preserve">
22632/11 +300.000
</t>
        </r>
      </text>
    </comment>
    <comment ref="D867" authorId="404" shapeId="0">
      <text>
        <r>
          <rPr>
            <b/>
            <sz val="9"/>
            <rFont val="Tahoma"/>
          </rPr>
          <t>Jana Holíková:</t>
        </r>
        <r>
          <rPr>
            <sz val="9"/>
            <rFont val="Tahoma"/>
          </rPr>
          <t xml:space="preserve">
22632/11 -300.000
</t>
        </r>
      </text>
    </comment>
    <comment ref="D873" authorId="405" shapeId="0">
      <text>
        <r>
          <rPr>
            <b/>
            <sz val="9"/>
            <rFont val="Tahoma"/>
          </rPr>
          <t>Jana Holíková:</t>
        </r>
        <r>
          <rPr>
            <sz val="9"/>
            <rFont val="Tahoma"/>
          </rPr>
          <t xml:space="preserve">
22141/09 -1.100.000
</t>
        </r>
      </text>
    </comment>
    <comment ref="D878" authorId="406" shapeId="0">
      <text>
        <r>
          <rPr>
            <b/>
            <sz val="9"/>
            <rFont val="Tahoma"/>
          </rPr>
          <t>Jana:</t>
        </r>
        <r>
          <rPr>
            <sz val="9"/>
            <rFont val="Tahoma"/>
          </rPr>
          <t xml:space="preserve">
22096/06 -65.000
22113/08 -35.300
</t>
        </r>
      </text>
    </comment>
    <comment ref="D882" authorId="407" shapeId="0">
      <text>
        <r>
          <rPr>
            <b/>
            <sz val="9"/>
            <rFont val="Tahoma"/>
          </rPr>
          <t>Jana:</t>
        </r>
        <r>
          <rPr>
            <sz val="9"/>
            <rFont val="Tahoma"/>
          </rPr>
          <t xml:space="preserve">
22096/06 +65.000
22113/08 +36.300
</t>
        </r>
      </text>
    </comment>
    <comment ref="D888" authorId="408" shapeId="0">
      <text>
        <r>
          <rPr>
            <b/>
            <sz val="9"/>
            <rFont val="Tahoma"/>
          </rPr>
          <t>Jana Holíková:</t>
        </r>
        <r>
          <rPr>
            <sz val="9"/>
            <rFont val="Tahoma"/>
          </rPr>
          <t xml:space="preserve">
22015/02 
+9.470,13 (0322)
+165.778,17 (0325)
</t>
        </r>
      </text>
    </comment>
    <comment ref="D889" authorId="409" shapeId="0">
      <text>
        <r>
          <rPr>
            <b/>
            <sz val="9"/>
            <rFont val="Tahoma"/>
          </rPr>
          <t>Jana Holíková:</t>
        </r>
        <r>
          <rPr>
            <sz val="9"/>
            <rFont val="Tahoma"/>
          </rPr>
          <t xml:space="preserve">
22007/01 +135.516
</t>
        </r>
      </text>
    </comment>
    <comment ref="D892" authorId="410" shapeId="0">
      <text>
        <r>
          <rPr>
            <b/>
            <sz val="9"/>
            <rFont val="Tahoma"/>
          </rPr>
          <t>Jana Holíková:</t>
        </r>
        <r>
          <rPr>
            <sz val="9"/>
            <rFont val="Tahoma"/>
          </rPr>
          <t xml:space="preserve">
22032/03 +150.000 +150.000 +200.000
</t>
        </r>
      </text>
    </comment>
    <comment ref="D893" authorId="411" shapeId="0">
      <text>
        <r>
          <rPr>
            <b/>
            <sz val="9"/>
            <rFont val="Tahoma"/>
          </rPr>
          <t>Jana Holíková:</t>
        </r>
        <r>
          <rPr>
            <sz val="9"/>
            <rFont val="Tahoma"/>
          </rPr>
          <t xml:space="preserve">
22208/12 +80.000
</t>
        </r>
      </text>
    </comment>
    <comment ref="D895" authorId="412" shapeId="0">
      <text>
        <r>
          <rPr>
            <b/>
            <sz val="9"/>
            <rFont val="Tahoma"/>
          </rPr>
          <t>Jana Holíková:</t>
        </r>
        <r>
          <rPr>
            <sz val="9"/>
            <rFont val="Tahoma"/>
          </rPr>
          <t xml:space="preserve">
22053/04 +17.662.820
22053/07 -17.662.820
+17.622.280
</t>
        </r>
      </text>
    </comment>
    <comment ref="D896" authorId="413" shapeId="0">
      <text>
        <r>
          <rPr>
            <b/>
            <sz val="9"/>
            <rFont val="Tahoma"/>
          </rPr>
          <t>Jana Holíková:</t>
        </r>
        <r>
          <rPr>
            <sz val="9"/>
            <rFont val="Tahoma"/>
          </rPr>
          <t xml:space="preserve">
22104/07 +5.000.000
</t>
        </r>
      </text>
    </comment>
    <comment ref="D898" authorId="414" shapeId="0">
      <text>
        <r>
          <rPr>
            <b/>
            <sz val="9"/>
            <rFont val="Tahoma"/>
          </rPr>
          <t>Jana Holíková:</t>
        </r>
        <r>
          <rPr>
            <sz val="9"/>
            <rFont val="Tahoma"/>
          </rPr>
          <t xml:space="preserve">
22005/01 +163.593,94 
</t>
        </r>
      </text>
    </comment>
    <comment ref="D899" authorId="415" shapeId="0">
      <text>
        <r>
          <rPr>
            <b/>
            <sz val="9"/>
            <rFont val="Tahoma"/>
          </rPr>
          <t>Jana Holíková:</t>
        </r>
        <r>
          <rPr>
            <sz val="9"/>
            <rFont val="Tahoma"/>
          </rPr>
          <t xml:space="preserve">
22013/02 +12.480 
</t>
        </r>
      </text>
    </comment>
    <comment ref="D900" authorId="416" shapeId="0">
      <text>
        <r>
          <rPr>
            <b/>
            <sz val="9"/>
            <rFont val="Tahoma"/>
          </rPr>
          <t>Jana Holíková:</t>
        </r>
        <r>
          <rPr>
            <sz val="9"/>
            <rFont val="Tahoma"/>
          </rPr>
          <t xml:space="preserve">
22012/02 +3.000 
</t>
        </r>
      </text>
    </comment>
    <comment ref="D902" authorId="417" shapeId="0">
      <text>
        <r>
          <rPr>
            <b/>
            <sz val="9"/>
            <rFont val="Tahoma"/>
          </rPr>
          <t>Jana Holíková:</t>
        </r>
        <r>
          <rPr>
            <sz val="9"/>
            <rFont val="Tahoma"/>
          </rPr>
          <t xml:space="preserve">
22001/01 -425.000
22003/01 -566.437,50
22005/01 -163.593,94
22006/01 -300.000,-
22007/01 -135.516
22010/02   -50.000
22012/02   -3.000
22015/02 +664.262,82
22017/02 -2.500.000
22018/02 -5.000.000
22019/02 -409.484
22020/02 -20.843
22022/02 +2.971.187
22023/02 +6.034.578
22028/03 -1.760.000
22031/03 -950.000
22032/03 -500.000
22033/03 +17.089.643,31
22034/03 +209.800
22037/03 -275.880
22038/03 +54
22043/03 +8.746.257,22
22046/03 -100.000
22048/04 -232.526
22050/04 +36.547,49
22055/04 -72.652
22056/04 -1.176.970,59
22057/04 +50.570
22060/04 +1.462.984,33
22062/04 +21.660.000
22068/05 -3.200.000
22069/05 -1.032.263,32
22072/05 -17.200.000
22074/05 -25.000
22075/05 +158.100,50 +29.600 +7.958,40 +78.069 +200 +12.600 +1.466 +131.100 +42.348
22077/06 +5.800.000 +5.700.000 +3.460.000
22078/06 -230.000
22080/06 -20.000
22081/06 -600.000
22082/06 -600.000
22084/06 -3.925.018,90 +3.731.500
22088/06 -1.200.000
22091/06 -419.212,24
22092/06 -88.030
22095/06 -3,89
22043/06 -8.800.000 opr ro43/3
22047/06 -5.500.000 opr ro47/4
22098/07 -924.898,76
22100/07 -100.000
22102/07 -4,60
22104/07 -5.000.000
22109/07 -49.000
22110/07 -50.000
22111/08 -595.005,27
22112/08 +54.994,85
22119/08 +8.740
22120/08 -93.170
22124/09 -50.000
22125/09 -45.000
22126/09 -69.500
22127/09 -1.150.000
22128/09 -100.000
22129/09 -800.000
22130/09 -950.000
22133/09 -2.747.000
22134/09 +367.500
22137/09 -70.000
22139/09 
+3.070.000 (0390+2390)
+   585.000 (1391+2391)
+1.550.000 (1393+2393)
22142/09 +16.835.000
22146/10 -30.000
22149/10 +6.519.951
22150/10 +35.300
22159/10 +230.320
22161/11 +970.376,48
22172/11 -28.200
22177/11 -555.556
22178/11
+217.967 +2.500.000 +50.000 +300.000 +100.000 -500.000 +1.200.000 +50.000 +100.000+68,67 +214.010 +1.000.000 +9.104,96 +1.210 +2.420 +96.075 +8.365,39
22179/11 -20.760-267.238 -132.246,30 +431.000 +1.009.000 +181.000 +13.693 -26.782 
22180/11 +200.000
22181/11 +2.042.156,56
22182/11 +21.016,09
22183/11 +121.016,24
22184/11 +248,14
22188/11 +2.276,32
22190/11 +1.000.000
22191/11 +124.739
22196/11 +814.000
22197/11 +119.158
22198/11 +7.791.164,26
22200/12 -50.000
22201/12 -147.136
22202/12 -25.000
22203/12 -30.000
22204/12 +3.663.880
22205/12 -1.700.000
22207/12 +30
22208/12 +1.383.212,84
22212/12 -1.388.250 -17.426,64 -1.955 -130.156,20
22216/12 +262.586
22217/12 +33.227,82
22218/12 +1.675.000
22220/12 +125.931,94 +125.969,50
</t>
        </r>
      </text>
    </comment>
    <comment ref="D905" authorId="418" shapeId="0">
      <text>
        <r>
          <rPr>
            <b/>
            <sz val="9"/>
            <rFont val="Tahoma"/>
          </rPr>
          <t>Jana Holíková:</t>
        </r>
        <r>
          <rPr>
            <sz val="9"/>
            <rFont val="Tahoma"/>
          </rPr>
          <t xml:space="preserve">
22001/01 -425.000
22003/01 -566.437,50
22005/01 -163.593,94
22006/01 -300.000,-
22007/01 -135.516
22010/02   -50.000
22012/02   -3.000
22015/02 +664.262,82
22017/02 -2.500.000
22018/02 -5.000.000
22019/02 -409.484
22020/02 -20.843
22022/02 +2.971.187
22023/02 +6.034.578
22028/03 -1.760.000
22031/03 -950.000
22032/03 -500.000
22033/03 +17.089.643,31
22034/03 +209.800
22037/03 -275.880
22038/03 +54
22043/03 +8.746.257,22
22046/03 -100.000
22048/04 -232.526
22050/04 +36.547,49
22055/04 -72.652
22056/04 -1.176.970,59
22057/04 +50.570
22060/04 +1.462.984,33
22062/04 +21.660.000
22068/05 -3.200.000
22069/05 -1.032.263,32
22072/05 -17.200.000
22074/05 -25.000
22075/05 +158.100,50 +29.600 +7.958,40 +78.069 +200 +12.600 +1.466 +131.100 +42.348
22077/06 +5.800.000 +5.700.000 +3.460.000
22078/06 -230.000
22080/06 -20.000
22081/06 -600.000
22082/06 -600.000
22084/06 -3.925.018,90 +3.731.500
22088/06 -1.200.000
22091/06 -419.212,24
22092/06 -88.030
22095/06 -3,89
22043/06 -8.800.000 opr ro43/3
22047/06 -5.500.000 opr ro47/4
</t>
        </r>
      </text>
    </comment>
  </commentList>
</comments>
</file>

<file path=xl/sharedStrings.xml><?xml version="1.0" encoding="utf-8"?>
<sst xmlns="http://schemas.openxmlformats.org/spreadsheetml/2006/main" count="1070" uniqueCount="996">
  <si>
    <r>
      <t xml:space="preserve">Rozpočtová 
skladba                                                                                                                                                                                                                                                    </t>
    </r>
    <r>
      <rPr>
        <sz val="8"/>
        <rFont val="Arial CE"/>
      </rPr>
      <t xml:space="preserve"> org/odd.par./pol.</t>
    </r>
  </si>
  <si>
    <t>Výsledky hospodaření města Nový Jičín 
za rok 2022</t>
  </si>
  <si>
    <r>
      <t xml:space="preserve">Schválený
rozpočet
</t>
    </r>
    <r>
      <rPr>
        <sz val="9"/>
        <rFont val="Arial CE"/>
      </rPr>
      <t>v Kč</t>
    </r>
  </si>
  <si>
    <r>
      <t xml:space="preserve">Upravený
rozpočet
</t>
    </r>
    <r>
      <rPr>
        <sz val="9"/>
        <rFont val="Arial CE"/>
      </rPr>
      <t>v Kč</t>
    </r>
  </si>
  <si>
    <r>
      <t xml:space="preserve">Skutečnost za
rok 2022
</t>
    </r>
    <r>
      <rPr>
        <sz val="9"/>
        <rFont val="Arial CE"/>
      </rPr>
      <t>v Kč</t>
    </r>
  </si>
  <si>
    <t>výpočty</t>
  </si>
  <si>
    <t>% plnění
k SR</t>
  </si>
  <si>
    <t>% plnění
k UR</t>
  </si>
  <si>
    <t>% plnění
2022/2021</t>
  </si>
  <si>
    <t>rok 2021</t>
  </si>
  <si>
    <t xml:space="preserve">Příjmy </t>
  </si>
  <si>
    <t xml:space="preserve">Třída 1 - Daňové příjmy                                                                                                                                                                                                                                                                                                                                                                                                                                                                                                  </t>
  </si>
  <si>
    <t>Třída 2 - Nedaňové příjmy</t>
  </si>
  <si>
    <t>Třída 3 - Kapitálové příjmy</t>
  </si>
  <si>
    <t>Třída 4 - Přijaté transfery</t>
  </si>
  <si>
    <t>Příjmy celkem</t>
  </si>
  <si>
    <t>Třída 8 - Financování</t>
  </si>
  <si>
    <t>Úhrn zdrojů</t>
  </si>
  <si>
    <t>Výdaje</t>
  </si>
  <si>
    <t>skuteč loni</t>
  </si>
  <si>
    <t>rozp loni</t>
  </si>
  <si>
    <t>Třída 5 - Běžné výdaje</t>
  </si>
  <si>
    <t>Třída 6 - Kapitálové výdaje</t>
  </si>
  <si>
    <t>ORJ 1xx - Odbor správy majetku</t>
  </si>
  <si>
    <t>ORJ 6xx - Odbor rozvoje a investic</t>
  </si>
  <si>
    <t>ORJ 009 - Obecní živnostenský úřad</t>
  </si>
  <si>
    <t>ORJ 011 - Návštěvnické centrum - město klobouků</t>
  </si>
  <si>
    <t>ORJ 210 - Odbor dopravy</t>
  </si>
  <si>
    <t>ORJ 313 - Odbor přestupkových agend</t>
  </si>
  <si>
    <t>ORJ 317 - Odbor správních agend</t>
  </si>
  <si>
    <t>ORJ 4xx - Odbor školství, kultury a sportu</t>
  </si>
  <si>
    <t>ORJ 018 - Městská policie</t>
  </si>
  <si>
    <t>ORJ 019 - Odbor organizační</t>
  </si>
  <si>
    <t>ORJ 919 - Odbor kancelář vedení města</t>
  </si>
  <si>
    <t>ORJ 5xx - Odbor sociálních věcí</t>
  </si>
  <si>
    <t>ORJ 029 - ProSenior Nový Jičín</t>
  </si>
  <si>
    <t>ORJ 035+031 - Odbor životního prostředí</t>
  </si>
  <si>
    <t xml:space="preserve">ORJ 037 - Odbor bytový </t>
  </si>
  <si>
    <t>ORJ 04x - Odbor územního plánování a stavebního řádu</t>
  </si>
  <si>
    <t>ORJ 741 - Odbor finanční</t>
  </si>
  <si>
    <t>Výdaje celkem</t>
  </si>
  <si>
    <r>
      <t xml:space="preserve">Příjem z daně z příjmů fyzických osob placené plátci </t>
    </r>
    <r>
      <rPr>
        <sz val="9"/>
        <rFont val="Arial CE"/>
      </rPr>
      <t>(sdílená část)</t>
    </r>
    <r>
      <rPr>
        <b/>
        <sz val="10"/>
        <rFont val="Arial CE"/>
      </rPr>
      <t xml:space="preserve"> </t>
    </r>
    <r>
      <rPr>
        <sz val="10"/>
        <rFont val="Arial CE"/>
      </rPr>
      <t xml:space="preserve">                                                         </t>
    </r>
  </si>
  <si>
    <r>
      <t xml:space="preserve">Příjem z daně z příjmů fyzických osob placené plátci </t>
    </r>
    <r>
      <rPr>
        <sz val="9"/>
        <rFont val="Arial CE"/>
      </rPr>
      <t xml:space="preserve">(motivační 1,5%)            </t>
    </r>
    <r>
      <rPr>
        <sz val="10"/>
        <rFont val="Arial CE"/>
      </rPr>
      <t xml:space="preserve">                                       </t>
    </r>
  </si>
  <si>
    <r>
      <t>Příjem z daně z příjmů fyzických osob placené poplatníky</t>
    </r>
    <r>
      <rPr>
        <sz val="9"/>
        <rFont val="Arial CE"/>
      </rPr>
      <t xml:space="preserve"> (sdílená) </t>
    </r>
    <r>
      <rPr>
        <i/>
        <sz val="9"/>
        <rFont val="Arial CE"/>
      </rPr>
      <t xml:space="preserve"> </t>
    </r>
    <r>
      <rPr>
        <sz val="9"/>
        <rFont val="Arial CE"/>
      </rPr>
      <t xml:space="preserve">      </t>
    </r>
    <r>
      <rPr>
        <b/>
        <sz val="10"/>
        <rFont val="Arial CE"/>
      </rPr>
      <t xml:space="preserve">                                                   </t>
    </r>
  </si>
  <si>
    <r>
      <t xml:space="preserve">Příjem z daně z příjmů fyzických osob vybírané srážkou </t>
    </r>
    <r>
      <rPr>
        <sz val="9"/>
        <rFont val="Arial CE"/>
      </rPr>
      <t>podle zvláštní sazby daně</t>
    </r>
  </si>
  <si>
    <r>
      <t xml:space="preserve">Příjem z daně z příjmů právnických osob </t>
    </r>
    <r>
      <rPr>
        <sz val="9"/>
        <rFont val="Arial CE"/>
      </rPr>
      <t xml:space="preserve">(sdílená)        </t>
    </r>
    <r>
      <rPr>
        <b/>
        <sz val="10"/>
        <rFont val="Arial CE"/>
      </rPr>
      <t xml:space="preserve">                                                                     </t>
    </r>
    <r>
      <rPr>
        <sz val="9"/>
        <rFont val="Arial CE"/>
      </rPr>
      <t xml:space="preserve"> </t>
    </r>
  </si>
  <si>
    <r>
      <t xml:space="preserve">Příjem z daně z příjmů právnických osob-poplatníkem je obec </t>
    </r>
    <r>
      <rPr>
        <sz val="9"/>
        <rFont val="Arial CE"/>
      </rPr>
      <t>(za město NJ) = 100%</t>
    </r>
  </si>
  <si>
    <r>
      <t xml:space="preserve">Příjem z daně z přidané hodnoty </t>
    </r>
    <r>
      <rPr>
        <sz val="9"/>
        <rFont val="Arial CE"/>
      </rPr>
      <t xml:space="preserve">(sdílená) </t>
    </r>
    <r>
      <rPr>
        <b/>
        <sz val="9"/>
        <rFont val="Arial CE"/>
      </rPr>
      <t xml:space="preserve">           </t>
    </r>
    <r>
      <rPr>
        <b/>
        <sz val="10"/>
        <rFont val="Arial CE"/>
      </rPr>
      <t xml:space="preserve">                                                                                  </t>
    </r>
    <r>
      <rPr>
        <b/>
        <sz val="9"/>
        <rFont val="Arial CE"/>
      </rPr>
      <t xml:space="preserve"> </t>
    </r>
  </si>
  <si>
    <t>Příjem z odvodů za odnětí půdy ze zemědělského půdního fondu podle zákona upravujícího ochranu ZPF</t>
  </si>
  <si>
    <t>Příjem z poplatků za odnětí pozemku podle lesního zákona</t>
  </si>
  <si>
    <t>Příjem z poplatků za povolené vypouštění odpadních vod do vod podzemních</t>
  </si>
  <si>
    <t>Příjem z poplatku ze psů</t>
  </si>
  <si>
    <t>Příjem z poplatku za užívání veřejného prostranství</t>
  </si>
  <si>
    <t xml:space="preserve">z toho: odbor obecní živnostenský úřad </t>
  </si>
  <si>
    <r>
      <rPr>
        <sz val="10"/>
        <rFont val="Arial CE"/>
      </rPr>
      <t xml:space="preserve">            odbor správy majetku (</t>
    </r>
    <r>
      <rPr>
        <sz val="9"/>
        <rFont val="Arial CE"/>
      </rPr>
      <t>překopy+zábory+MP vyhrazené parkování)</t>
    </r>
  </si>
  <si>
    <r>
      <rPr>
        <sz val="10"/>
        <rFont val="Arial CE"/>
      </rPr>
      <t xml:space="preserve">            odbor životního prostředí</t>
    </r>
    <r>
      <rPr>
        <sz val="9"/>
        <rFont val="Arial CE"/>
      </rPr>
      <t xml:space="preserve"> (zvláštní užívání zeleně)</t>
    </r>
  </si>
  <si>
    <t>Příjem z poplatku za obecní systém odpadového hospodářství a příjem z poplatku za odkládání odpadu z nemovité věci</t>
  </si>
  <si>
    <r>
      <t xml:space="preserve">Ppříjem z poplatku za povolení k vjezdu s motorovým vozidlem do vybraných míst a částí měst </t>
    </r>
    <r>
      <rPr>
        <sz val="9"/>
        <rFont val="Arial CE"/>
      </rPr>
      <t>(2022: pouze NCNJ abonentní a rezidentní karty)</t>
    </r>
  </si>
  <si>
    <t>Příjem za zkoušky z odborné způsobilosti od žadatelů o řidičské oprávnění</t>
  </si>
  <si>
    <t>Příjem úhrad za dobývání nerostů a poplatků za geologické práce</t>
  </si>
  <si>
    <t>Příjem ze správních poplatků</t>
  </si>
  <si>
    <t>z toho: odbor dopravy</t>
  </si>
  <si>
    <r>
      <rPr>
        <sz val="10"/>
        <rFont val="Arial CE"/>
      </rPr>
      <t xml:space="preserve">            obecní živnostenský úřad </t>
    </r>
    <r>
      <rPr>
        <sz val="9"/>
        <rFont val="Arial CE"/>
      </rPr>
      <t>(nové a změnové výpisy z živnost.rejstříku 369, vydání výpisů z živnost. rejstříku 1, vydání povolení k hernímu prostoru 20, osvědčení zemědělský podnikatel 10)</t>
    </r>
  </si>
  <si>
    <t xml:space="preserve">            odbor územního plánování a stavebního řádu </t>
  </si>
  <si>
    <r>
      <rPr>
        <sz val="10"/>
        <rFont val="Arial CE"/>
      </rPr>
      <t xml:space="preserve">            odbor správních agend </t>
    </r>
    <r>
      <rPr>
        <sz val="9"/>
        <rFont val="Arial CE"/>
      </rPr>
      <t>(matrika 170, ohlašovna 40, CzechPoint 70, OP+CD 820)</t>
    </r>
  </si>
  <si>
    <r>
      <rPr>
        <sz val="10"/>
        <rFont val="Arial CE"/>
      </rPr>
      <t xml:space="preserve">            odbor životního prostředí </t>
    </r>
    <r>
      <rPr>
        <sz val="9"/>
        <rFont val="Arial CE"/>
      </rPr>
      <t>(r. 2022: rybářské a lovecké lístky 110, vodní hospodářství 110, odpady 2)</t>
    </r>
  </si>
  <si>
    <r>
      <rPr>
        <sz val="10"/>
        <rFont val="Arial CE"/>
      </rPr>
      <t xml:space="preserve">            odbor finanční </t>
    </r>
    <r>
      <rPr>
        <sz val="9"/>
        <rFont val="Arial CE"/>
      </rPr>
      <t>(splátkové kalendáře+bezdlužnost)</t>
    </r>
  </si>
  <si>
    <t>Příjem z daně z hazardních her s výjimkou dílčí daně z technických her</t>
  </si>
  <si>
    <t>Příjem ze zrušeného odvodu z loterií apod.her kromě odvodu z VHP</t>
  </si>
  <si>
    <t>Příjem ze zrušeného odvodu z výherních hracích přístrojů</t>
  </si>
  <si>
    <t>Příjem z dílčí daně z technických her</t>
  </si>
  <si>
    <r>
      <t xml:space="preserve">Příjem z daně z nemovitých věcí </t>
    </r>
    <r>
      <rPr>
        <sz val="9"/>
        <rFont val="Arial CE"/>
      </rPr>
      <t xml:space="preserve">(výlučná)    </t>
    </r>
    <r>
      <rPr>
        <b/>
        <sz val="10"/>
        <rFont val="Arial CE"/>
      </rPr>
      <t xml:space="preserve">                                                                                                              </t>
    </r>
  </si>
  <si>
    <t>Příjem z poskytování služeb a výrobků</t>
  </si>
  <si>
    <t xml:space="preserve">               § 1019 ostatní zeměděl.a potravinářská činnost</t>
  </si>
  <si>
    <r>
      <rPr>
        <sz val="10"/>
        <rFont val="Arial CE"/>
      </rPr>
      <t xml:space="preserve">               § 1031 pěstební činnost </t>
    </r>
    <r>
      <rPr>
        <sz val="9"/>
        <rFont val="Arial CE"/>
      </rPr>
      <t>(těžba v městských lesích),(OSM prodej dříví: cyklo NJ-Hostašovice 13,37655)</t>
    </r>
  </si>
  <si>
    <r>
      <rPr>
        <sz val="10"/>
        <rFont val="Arial CE"/>
      </rPr>
      <t xml:space="preserve">               § 2143 cestovní ruch</t>
    </r>
    <r>
      <rPr>
        <sz val="9"/>
        <rFont val="Arial CE"/>
      </rPr>
      <t xml:space="preserve"> (Návštěvnické centrum NJ-město klobouků)</t>
    </r>
  </si>
  <si>
    <r>
      <rPr>
        <sz val="10"/>
        <rFont val="Arial CE"/>
      </rPr>
      <t xml:space="preserve">               § 3412 sportovní zařízení v majetku obce</t>
    </r>
    <r>
      <rPr>
        <sz val="9"/>
        <rFont val="Arial CE"/>
      </rPr>
      <t xml:space="preserve"> (bazé</t>
    </r>
    <r>
      <rPr>
        <sz val="9"/>
        <rFont val="Arial CE"/>
      </rPr>
      <t>n: Basketbalový klub,o.s.-vstupné, nájmy)</t>
    </r>
  </si>
  <si>
    <r>
      <rPr>
        <sz val="10"/>
        <rFont val="Arial CE"/>
      </rPr>
      <t xml:space="preserve">               § 3412 sportovní zařízení v majetku obce </t>
    </r>
    <r>
      <rPr>
        <sz val="9"/>
        <rFont val="Arial CE"/>
      </rPr>
      <t>(zimní stadión: Hokejový klub-vstupné, nájmy)</t>
    </r>
  </si>
  <si>
    <r>
      <rPr>
        <sz val="10"/>
        <rFont val="Arial CE"/>
      </rPr>
      <t xml:space="preserve">               § 3612 tržby za správu SVJ</t>
    </r>
    <r>
      <rPr>
        <sz val="9"/>
        <rFont val="Arial CE"/>
      </rPr>
      <t xml:space="preserve"> (odbor bytový)</t>
    </r>
  </si>
  <si>
    <r>
      <rPr>
        <sz val="10"/>
        <rFont val="Arial CE"/>
      </rPr>
      <t xml:space="preserve">               § 4351 </t>
    </r>
    <r>
      <rPr>
        <sz val="10"/>
        <rFont val="Arial CE"/>
      </rPr>
      <t xml:space="preserve">pečovatelská služba, denní stacionář, odlehč. služba Pohoda </t>
    </r>
    <r>
      <rPr>
        <sz val="9"/>
        <rFont val="Arial CE"/>
      </rPr>
      <t>(Prosenior NJ)</t>
    </r>
  </si>
  <si>
    <r>
      <rPr>
        <sz val="10"/>
        <rFont val="Arial CE"/>
      </rPr>
      <t xml:space="preserve">               § 5311 bezpečnost a veřejný pořádek </t>
    </r>
    <r>
      <rPr>
        <sz val="9"/>
        <rFont val="Arial CE"/>
      </rPr>
      <t>(Městská policie)</t>
    </r>
  </si>
  <si>
    <r>
      <rPr>
        <sz val="10"/>
        <rFont val="Arial CE"/>
      </rPr>
      <t xml:space="preserve">               § 6171 činnost místní správy </t>
    </r>
    <r>
      <rPr>
        <sz val="9"/>
        <rFont val="Arial CE"/>
      </rPr>
      <t>(kopírování pro veřejnost)</t>
    </r>
  </si>
  <si>
    <r>
      <t xml:space="preserve">Ostatní příjmy z vlastní činnosti </t>
    </r>
    <r>
      <rPr>
        <sz val="9"/>
        <rFont val="Arial CE"/>
      </rPr>
      <t>(odbor správy majetku: věcná břemena s DPH 21% 1000, odbor organizační: OPAVANET 900)</t>
    </r>
  </si>
  <si>
    <r>
      <t xml:space="preserve">Příjem z odvodů příspěvkových organizací </t>
    </r>
    <r>
      <rPr>
        <sz val="9"/>
        <rFont val="Arial CE"/>
      </rPr>
      <t>(z fondu investic: odpisy z nemovitého majetku)</t>
    </r>
    <r>
      <rPr>
        <b/>
        <i/>
        <sz val="9"/>
        <rFont val="Arial CE"/>
      </rPr>
      <t xml:space="preserve">       </t>
    </r>
    <r>
      <rPr>
        <sz val="9"/>
        <rFont val="Arial CE"/>
      </rPr>
      <t xml:space="preserve">      </t>
    </r>
  </si>
  <si>
    <r>
      <t xml:space="preserve">Příjem z ostatních odvodů příspěvkových organizací </t>
    </r>
    <r>
      <rPr>
        <sz val="9"/>
        <rFont val="Arial CE"/>
      </rPr>
      <t>(ZŠ K68)</t>
    </r>
    <r>
      <rPr>
        <b/>
        <i/>
        <sz val="9"/>
        <rFont val="Arial CE"/>
      </rPr>
      <t xml:space="preserve">       </t>
    </r>
    <r>
      <rPr>
        <sz val="9"/>
        <rFont val="Arial CE"/>
      </rPr>
      <t xml:space="preserve">      </t>
    </r>
  </si>
  <si>
    <r>
      <t xml:space="preserve">Příjmy z pronájmu nebo pachtu pozemků </t>
    </r>
    <r>
      <rPr>
        <sz val="9"/>
        <rFont val="Arial CE"/>
      </rPr>
      <t>(odbor správy majetku: s 0% DPH 350, s 21% DPH 1300 + zápočet oplocení p. Perútka 9,06956)</t>
    </r>
  </si>
  <si>
    <t>Příjmy z pronájmu nebo pachtu ostatních nemovitých věcí a jejich částí</t>
  </si>
  <si>
    <r>
      <rPr>
        <sz val="10"/>
        <rFont val="Arial CE"/>
      </rPr>
      <t xml:space="preserve">              § 2212 vyhrazené parkování formou nájemní smlouvy </t>
    </r>
    <r>
      <rPr>
        <sz val="9"/>
        <rFont val="Arial CE"/>
      </rPr>
      <t>(odbor správy majetku: v režimu DPH)</t>
    </r>
  </si>
  <si>
    <r>
      <rPr>
        <sz val="10"/>
        <rFont val="Arial CE"/>
      </rPr>
      <t xml:space="preserve">              § 2310 nájem ostatních nemovitostí </t>
    </r>
    <r>
      <rPr>
        <sz val="9"/>
        <rFont val="Arial CE"/>
      </rPr>
      <t>(odbor správy majetku)</t>
    </r>
  </si>
  <si>
    <r>
      <rPr>
        <sz val="10"/>
        <rFont val="Arial CE"/>
      </rPr>
      <t xml:space="preserve">              § 2321 nájem Kanalizace od SmVaK (DSO) </t>
    </r>
    <r>
      <rPr>
        <sz val="9"/>
        <rFont val="Arial CE"/>
      </rPr>
      <t>- účet 2310441 Plán financování obnovy (PFO)</t>
    </r>
  </si>
  <si>
    <r>
      <rPr>
        <sz val="10"/>
        <rFont val="Arial CE"/>
      </rPr>
      <t xml:space="preserve">              § 3122 nájem EDUCA </t>
    </r>
    <r>
      <rPr>
        <sz val="9"/>
        <rFont val="Arial CE"/>
      </rPr>
      <t>(odbor bytový)</t>
    </r>
  </si>
  <si>
    <r>
      <rPr>
        <sz val="10"/>
        <rFont val="Arial CE"/>
      </rPr>
      <t xml:space="preserve">              § 3612 z bytů v majetku města</t>
    </r>
    <r>
      <rPr>
        <sz val="9"/>
        <rFont val="Arial CE"/>
      </rPr>
      <t xml:space="preserve"> (odbor bytový: nájmy 32000, zálohy na služby 18500, vyplácení přeplatků, pacht Suvorovova 441,650)</t>
    </r>
  </si>
  <si>
    <r>
      <rPr>
        <sz val="10"/>
        <rFont val="Arial CE"/>
      </rPr>
      <t xml:space="preserve">              § 3613 v nebytových prostorech </t>
    </r>
    <r>
      <rPr>
        <sz val="9"/>
        <rFont val="Arial CE"/>
      </rPr>
      <t>(odbor organizační: Div.1-Kavamat, Div.8-Policie ČR, Glogar; Dlouhá - Náš-Net)</t>
    </r>
  </si>
  <si>
    <r>
      <rPr>
        <sz val="10"/>
        <rFont val="Arial CE"/>
      </rPr>
      <t xml:space="preserve">              § 3613 v nebyt.prostorech </t>
    </r>
    <r>
      <rPr>
        <sz val="9"/>
        <rFont val="Arial CE"/>
      </rPr>
      <t>(odbor správy majetku: s DPH 0% je 100 =nájem plynovodu, s DPH 21%=300 náj. NP)</t>
    </r>
  </si>
  <si>
    <r>
      <rPr>
        <sz val="10"/>
        <rFont val="Arial CE"/>
      </rPr>
      <t xml:space="preserve">              § 3613 v nebytových prostorech </t>
    </r>
    <r>
      <rPr>
        <sz val="9"/>
        <rFont val="Arial CE"/>
      </rPr>
      <t>(odbor bytový: nájmy 13500, zálohy na služby 3000, kryté stání Loučka 240, krátkodobé 20, Hotel Praha 746, zálohy na služby a energie Hotel Praha 216, nájem teplovod Smet.sady 134)</t>
    </r>
  </si>
  <si>
    <r>
      <rPr>
        <sz val="10"/>
        <rFont val="Arial CE"/>
      </rPr>
      <t xml:space="preserve">              § 3634 v zásobování teplem </t>
    </r>
    <r>
      <rPr>
        <sz val="9"/>
        <rFont val="Arial CE"/>
      </rPr>
      <t>(VEOLIA)</t>
    </r>
  </si>
  <si>
    <r>
      <t xml:space="preserve">              § 4351 v domech s pečovatelskou službou </t>
    </r>
    <r>
      <rPr>
        <sz val="9"/>
        <rFont val="Arial CE"/>
      </rPr>
      <t>(nájmy: krátkodobé 18)</t>
    </r>
  </si>
  <si>
    <r>
      <rPr>
        <sz val="10"/>
        <rFont val="Arial CE"/>
      </rPr>
      <t xml:space="preserve">              § 4379 v klubech seniorů </t>
    </r>
    <r>
      <rPr>
        <sz val="9"/>
        <rFont val="Arial CE"/>
      </rPr>
      <t xml:space="preserve">(nájmy: dlouhodobé 16, krátkodobé 5) </t>
    </r>
  </si>
  <si>
    <t>Příjmy z úroků</t>
  </si>
  <si>
    <t>Příjem sankčních plateb přijatých od jiných osob</t>
  </si>
  <si>
    <r>
      <rPr>
        <sz val="10"/>
        <rFont val="Arial CE"/>
      </rPr>
      <t xml:space="preserve">z toho:  § 2141 vnitřní obchod </t>
    </r>
    <r>
      <rPr>
        <sz val="9"/>
        <rFont val="Arial CE"/>
      </rPr>
      <t>(obecní živnostenský úřad: ve správním řízení 5, v blokovém řízení 7)</t>
    </r>
  </si>
  <si>
    <t xml:space="preserve">             § 2169 stavební úřad</t>
  </si>
  <si>
    <t xml:space="preserve">             § 2212 smluvní pokuta parkoviště Dlouhá (odbor správy majetku)</t>
  </si>
  <si>
    <t xml:space="preserve">             § 2223 dopravní přestupky (odbor dopravy)</t>
  </si>
  <si>
    <t xml:space="preserve">             § 2223 dopravní přestupky odbor přest.agend</t>
  </si>
  <si>
    <r>
      <t xml:space="preserve">             § 2223 dopravní přestupky odbor přest.agend </t>
    </r>
    <r>
      <rPr>
        <sz val="9"/>
        <rFont val="Arial CE"/>
      </rPr>
      <t>(radary)</t>
    </r>
  </si>
  <si>
    <t xml:space="preserve">             § 3111 mateřské školy</t>
  </si>
  <si>
    <t xml:space="preserve">             § 3612 bytové hospodářství</t>
  </si>
  <si>
    <t xml:space="preserve">             § 3613 nebytové hospodářství</t>
  </si>
  <si>
    <t xml:space="preserve">             § 3769 ostatní správa v ochraně životního prostředí</t>
  </si>
  <si>
    <r>
      <rPr>
        <sz val="10"/>
        <rFont val="Arial CE"/>
      </rPr>
      <t xml:space="preserve">             § 5311 bezpečnost a veřejný pořádek </t>
    </r>
    <r>
      <rPr>
        <sz val="9"/>
        <rFont val="Arial CE"/>
      </rPr>
      <t>(Městská policie: na místě zaplacené 500, na místě nezapl. 150)</t>
    </r>
  </si>
  <si>
    <t xml:space="preserve">             § 6141 právo stavby</t>
  </si>
  <si>
    <r>
      <rPr>
        <sz val="10"/>
        <rFont val="Arial CE"/>
      </rPr>
      <t xml:space="preserve">             § 6171 pokuty </t>
    </r>
    <r>
      <rPr>
        <sz val="9"/>
        <rFont val="Arial CE"/>
      </rPr>
      <t>(odbor přestupkových agend)</t>
    </r>
  </si>
  <si>
    <r>
      <rPr>
        <sz val="10"/>
        <rFont val="Arial CE"/>
      </rPr>
      <t xml:space="preserve">             § 6171 pokuty </t>
    </r>
    <r>
      <rPr>
        <sz val="9"/>
        <rFont val="Arial CE"/>
      </rPr>
      <t>(odbor správních agend)</t>
    </r>
  </si>
  <si>
    <r>
      <t xml:space="preserve">             § 6171 pokuty </t>
    </r>
    <r>
      <rPr>
        <sz val="9"/>
        <rFont val="Arial CE"/>
      </rPr>
      <t>(odbor organizační)</t>
    </r>
  </si>
  <si>
    <r>
      <t xml:space="preserve">Ostatní příjmy z fin.vypořádání od jiných rozpočtů </t>
    </r>
    <r>
      <rPr>
        <sz val="10"/>
        <rFont val="Arial CE"/>
      </rPr>
      <t>doplatek dotace 2020-volby do PČR</t>
    </r>
  </si>
  <si>
    <r>
      <t xml:space="preserve">Ostatní přijaté vratky transferů a podobné příjmy </t>
    </r>
    <r>
      <rPr>
        <sz val="10"/>
        <rFont val="Arial CE"/>
      </rPr>
      <t>(příspěvků a dotací)</t>
    </r>
  </si>
  <si>
    <t>z toho § 3111 MŠ vratky příspěvků 2021 na energie (org.305+307+309)</t>
  </si>
  <si>
    <t xml:space="preserve">           § 3111 vratky veř.výpomoci 2021 - individuální žádosti kultura+sport (org.1180)</t>
  </si>
  <si>
    <t xml:space="preserve">           § 3113 ZŠ vratky příspěvků 2021 na energie (org.321+323)</t>
  </si>
  <si>
    <t xml:space="preserve">           § 3122 vratky veř.výpomoci 2021 - individuální žádosti kultura+sport (org.1180)</t>
  </si>
  <si>
    <t xml:space="preserve">           § 3233 SVČ Fokus vratky příspěvků 2021 na energie</t>
  </si>
  <si>
    <t xml:space="preserve">           § 3233 SVČ Fokus vratka nevyčerp.dotace 2021 z MŠKTV Podpora okr.a kraj soutěží úz 33166</t>
  </si>
  <si>
    <t xml:space="preserve">           § 3311 Beskydské divadlo vratky příspěvků 2021 na energie</t>
  </si>
  <si>
    <t xml:space="preserve">           § 3312 vratky veř.výpomoci 2021 - kultura+sport (org.1121)</t>
  </si>
  <si>
    <t xml:space="preserve">           § 3317 vratky veř.výpomoci 2021 - kultura+sport (org.1122)</t>
  </si>
  <si>
    <t xml:space="preserve">           § 3392 MěKS vratky příspěvků 2021 na energie</t>
  </si>
  <si>
    <t xml:space="preserve">           § 3412 Basketbalový klub z.s.-vratky příspěvků 2021 energie a provoz </t>
  </si>
  <si>
    <t xml:space="preserve">           § 3419 vratky veř.výpomoci 2021 - kultura+sport (org.1122, 1131, 1180)</t>
  </si>
  <si>
    <t xml:space="preserve">           § 3429 vratky veř.výpomoci 2021 - kultura+sport (org.1141)</t>
  </si>
  <si>
    <t xml:space="preserve">           § 3900 vratky veř.výpomoci 2021 - kultura+sport (org.1111, 1112)</t>
  </si>
  <si>
    <t xml:space="preserve">           § 4171- § 4379 dávky a podpory v soc.zabezpečení z minulých let</t>
  </si>
  <si>
    <t>Příjem z prodeje krátkodobého a drobného dlouhodobého neinv. majetku</t>
  </si>
  <si>
    <r>
      <t xml:space="preserve">Přijaté peněžité neinvestiční dary </t>
    </r>
    <r>
      <rPr>
        <sz val="9"/>
        <rFont val="Arial CE"/>
      </rPr>
      <t xml:space="preserve">(Veolia Dalkia ČR-financování kulturních a společenských akcí města) </t>
    </r>
  </si>
  <si>
    <t>Příjem z pojistných plnění</t>
  </si>
  <si>
    <t>Přijaté neinvestiční příspěvky a náhrady</t>
  </si>
  <si>
    <t xml:space="preserve">             § 1037 Přijaté neinvestiční příspěvky a náhrady</t>
  </si>
  <si>
    <r>
      <rPr>
        <sz val="10"/>
        <rFont val="Arial CE"/>
      </rPr>
      <t xml:space="preserve">             § 2141 vnitřní obchod </t>
    </r>
    <r>
      <rPr>
        <sz val="9"/>
        <rFont val="Arial CE"/>
      </rPr>
      <t>(obecní živnostenský úřad: náklady řízení)</t>
    </r>
  </si>
  <si>
    <t xml:space="preserve">             § 2143 cestovní ruch</t>
  </si>
  <si>
    <t xml:space="preserve">             § 2212 silnice</t>
  </si>
  <si>
    <r>
      <rPr>
        <sz val="10"/>
        <rFont val="Arial CE"/>
      </rPr>
      <t xml:space="preserve">             § 2223 bezpečnost silničního provozu </t>
    </r>
    <r>
      <rPr>
        <sz val="9"/>
        <rFont val="Arial CE"/>
      </rPr>
      <t>(dopravní přestupky: náklady řízení)</t>
    </r>
  </si>
  <si>
    <t xml:space="preserve">             § 3329 ostatní záležitosti ochrany památek</t>
  </si>
  <si>
    <r>
      <rPr>
        <sz val="10"/>
        <rFont val="Arial CE"/>
      </rPr>
      <t xml:space="preserve">             § 3612 bytové hospodářství </t>
    </r>
    <r>
      <rPr>
        <sz val="9"/>
        <rFont val="Arial CE"/>
      </rPr>
      <t>(odbor bytový: úhrada nákladů soudních řízení+poplatky z prodlení)</t>
    </r>
  </si>
  <si>
    <r>
      <rPr>
        <sz val="10"/>
        <rFont val="Arial CE"/>
      </rPr>
      <t xml:space="preserve">             § 3613 nebytové hospodářství </t>
    </r>
    <r>
      <rPr>
        <sz val="9"/>
        <rFont val="Arial CE"/>
      </rPr>
      <t>(odb.bytový: úhrada nákladů soudních řízení+popl.z prodlení,OSM 3,84798)</t>
    </r>
  </si>
  <si>
    <r>
      <rPr>
        <sz val="10"/>
        <rFont val="Arial CE"/>
      </rPr>
      <t xml:space="preserve">             § 3639 náklady řízení </t>
    </r>
    <r>
      <rPr>
        <sz val="9"/>
        <rFont val="Arial CE"/>
      </rPr>
      <t>(odbor finanční)</t>
    </r>
  </si>
  <si>
    <r>
      <rPr>
        <sz val="10"/>
        <rFont val="Arial CE"/>
      </rPr>
      <t xml:space="preserve">             § 3722 sběr a svoz komunálních odpadů </t>
    </r>
    <r>
      <rPr>
        <sz val="9"/>
        <rFont val="Arial CE"/>
      </rPr>
      <t xml:space="preserve">(příspěvek od EKOKOMu)               </t>
    </r>
  </si>
  <si>
    <t xml:space="preserve">             § 4351 ProSenior</t>
  </si>
  <si>
    <r>
      <rPr>
        <sz val="10"/>
        <rFont val="Arial CE"/>
      </rPr>
      <t xml:space="preserve">             § 5311 bezpečnost a veřejný pořádek</t>
    </r>
    <r>
      <rPr>
        <sz val="9"/>
        <rFont val="Arial CE"/>
      </rPr>
      <t xml:space="preserve"> (Městská policie: náhrady)</t>
    </r>
  </si>
  <si>
    <r>
      <t xml:space="preserve">             § 6171 činnost místní správy </t>
    </r>
    <r>
      <rPr>
        <sz val="9"/>
        <rFont val="Arial CE"/>
      </rPr>
      <t>(odbor organizační)</t>
    </r>
  </si>
  <si>
    <r>
      <rPr>
        <sz val="10"/>
        <rFont val="Arial CE"/>
      </rPr>
      <t xml:space="preserve">             § 6171 činnost místní správy </t>
    </r>
    <r>
      <rPr>
        <sz val="9"/>
        <rFont val="Arial CE"/>
      </rPr>
      <t>(odbor přestupkových agend: náklady řízení)</t>
    </r>
  </si>
  <si>
    <r>
      <rPr>
        <sz val="10"/>
        <rFont val="Arial CE"/>
      </rPr>
      <t xml:space="preserve">             § 6171 činnost místní správy</t>
    </r>
    <r>
      <rPr>
        <sz val="9"/>
        <rFont val="Arial CE"/>
      </rPr>
      <t xml:space="preserve"> (odbor finanční: exekuční a soudní náklady)</t>
    </r>
  </si>
  <si>
    <t xml:space="preserve">             § 6221 paušální náhr.-nouzové ubyt.uprchlíkům z UK - z MSK (úz 900, ZJ100)</t>
  </si>
  <si>
    <t>Neidentifikované příjmy</t>
  </si>
  <si>
    <t>Ostatní nedaňové příjmy j.n.</t>
  </si>
  <si>
    <t xml:space="preserve">           § 3322-3326 neinvestiční příspěvek na regeneraci MPR a MPZ (z MK ČR)</t>
  </si>
  <si>
    <r>
      <rPr>
        <sz val="10"/>
        <rFont val="Arial CE"/>
      </rPr>
      <t xml:space="preserve">           § 3341 kabelová televize Straník-přihlášky</t>
    </r>
    <r>
      <rPr>
        <sz val="9"/>
        <rFont val="Arial CE"/>
      </rPr>
      <t xml:space="preserve"> </t>
    </r>
    <r>
      <rPr>
        <sz val="10"/>
        <rFont val="Arial CE"/>
      </rPr>
      <t>(odbor správy majetku)</t>
    </r>
  </si>
  <si>
    <r>
      <t xml:space="preserve">           § 3429 chata Jičínka </t>
    </r>
    <r>
      <rPr>
        <sz val="10"/>
        <rFont val="Arial CE"/>
      </rPr>
      <t>(org. 4381)=účet 2310440, OSM kovošrot 0,310 + ostatní=účet 2310600</t>
    </r>
  </si>
  <si>
    <t xml:space="preserve">           § 3612 bytové hospodářství</t>
  </si>
  <si>
    <r>
      <rPr>
        <sz val="10"/>
        <rFont val="Arial CE"/>
      </rPr>
      <t xml:space="preserve">           § 3613 chata Jičínka </t>
    </r>
    <r>
      <rPr>
        <sz val="10"/>
        <rFont val="Arial CE"/>
      </rPr>
      <t>(org. 4381)=účet 2310440, OSM kovošrot 0,310 + ostatní=účet 2310600</t>
    </r>
  </si>
  <si>
    <r>
      <rPr>
        <sz val="10"/>
        <rFont val="Arial CE"/>
      </rPr>
      <t xml:space="preserve">           § 3632</t>
    </r>
    <r>
      <rPr>
        <sz val="10"/>
        <rFont val="Arial CE"/>
      </rPr>
      <t xml:space="preserve"> pohřebnictví (odbor sociálních věcí - příjmy ze sociálních pohřbů)</t>
    </r>
  </si>
  <si>
    <r>
      <rPr>
        <sz val="10"/>
        <rFont val="Arial CE"/>
      </rPr>
      <t xml:space="preserve">           § 3639 provoz internetu ve Straníku </t>
    </r>
    <r>
      <rPr>
        <sz val="10"/>
        <rFont val="Arial CE"/>
      </rPr>
      <t>(odbor správy majetku)</t>
    </r>
  </si>
  <si>
    <t xml:space="preserve">           § 4351 domy s pečovatelskou službou (odbor bytový)</t>
  </si>
  <si>
    <r>
      <rPr>
        <sz val="10"/>
        <rFont val="Arial CE"/>
      </rPr>
      <t xml:space="preserve">           § 4351 neinvestiční příspěvek na poskytování sociálních služeb </t>
    </r>
    <r>
      <rPr>
        <sz val="9"/>
        <rFont val="Arial CE"/>
      </rPr>
      <t>(předpokládaná dotace z MPSV)</t>
    </r>
  </si>
  <si>
    <t xml:space="preserve">           § 4399 ostatní záležitostli soc.věcí a politiky zaměstnanosti</t>
  </si>
  <si>
    <r>
      <t xml:space="preserve">           § 6115 neinvest.příspěvek </t>
    </r>
    <r>
      <rPr>
        <sz val="9"/>
        <rFont val="Arial CE"/>
      </rPr>
      <t>(dotace)</t>
    </r>
    <r>
      <rPr>
        <sz val="10"/>
        <rFont val="Arial CE"/>
      </rPr>
      <t xml:space="preserve"> na v</t>
    </r>
    <r>
      <rPr>
        <sz val="10"/>
        <rFont val="Arial CE"/>
      </rPr>
      <t>olby do zastupitelstev územ.samospr.celků (obcí)</t>
    </r>
  </si>
  <si>
    <r>
      <t xml:space="preserve">           § 6118 neinvest.příspěvek </t>
    </r>
    <r>
      <rPr>
        <sz val="9"/>
        <rFont val="Arial CE"/>
      </rPr>
      <t>(dotace)</t>
    </r>
    <r>
      <rPr>
        <sz val="10"/>
        <rFont val="Arial CE"/>
      </rPr>
      <t xml:space="preserve"> na volby prezidenta republiky</t>
    </r>
  </si>
  <si>
    <t xml:space="preserve">           § 6171 (odbor organizační)</t>
  </si>
  <si>
    <t xml:space="preserve">           § 6171 (odbor finanční)</t>
  </si>
  <si>
    <r>
      <t xml:space="preserve">           § 6171 neinvestiční příspěvek na výkon soc.právní ochrany dětí 2022 </t>
    </r>
    <r>
      <rPr>
        <sz val="9"/>
        <rFont val="Arial CE"/>
      </rPr>
      <t>(předpokl.dotace z MPSV)</t>
    </r>
  </si>
  <si>
    <r>
      <t xml:space="preserve">           § 6171 neinvestiční příspěvek pouze na výkon soc.práce-mimo soc.právní ochranu dětí </t>
    </r>
    <r>
      <rPr>
        <sz val="9"/>
        <rFont val="Arial CE"/>
      </rPr>
      <t>(předpokládaná dotace z MPSV)</t>
    </r>
  </si>
  <si>
    <t xml:space="preserve">           § 6409 ostatní činnosti j.n. - ztráty a nálezy finanční hotovost (odbor organizační)</t>
  </si>
  <si>
    <r>
      <t>Příjem z prodeje pozemků s DPH 21% i 0%</t>
    </r>
    <r>
      <rPr>
        <b/>
        <sz val="9"/>
        <rFont val="Arial CE"/>
      </rPr>
      <t xml:space="preserve"> </t>
    </r>
    <r>
      <rPr>
        <sz val="9"/>
        <rFont val="Arial CE"/>
      </rPr>
      <t>(v mil. Kč:  Průmyslová zóna+PD=16+2  +  IS Za Školou 3.etapa 1,282+1,89  +  Lokalita Pod Skalkou 15,18   +  u Kauflandu 5,95  +  u Archívu 9,15 +  pozemky pod domy SBD Venkov 2,18  +  ostatní 2) + 21% DPH</t>
    </r>
  </si>
  <si>
    <t xml:space="preserve">Příjem z prodeje ostatních nemovitých věcí a jejich částí </t>
  </si>
  <si>
    <t xml:space="preserve">             bytový dům Dolní Brána 26</t>
  </si>
  <si>
    <t xml:space="preserve">             nebytový dům U Jezu - celý areál - odhad</t>
  </si>
  <si>
    <t xml:space="preserve">             bytový dům Beskydská 176 (Škola života) - odhad</t>
  </si>
  <si>
    <t xml:space="preserve">             bytový dům Hluboká 188</t>
  </si>
  <si>
    <t xml:space="preserve">             bytový dům 5.května 2, Jungmannova 1</t>
  </si>
  <si>
    <t xml:space="preserve">             sklepy Štefánikova</t>
  </si>
  <si>
    <r>
      <t>Ostatní příjmy z prodeje dlouhodobého majetku</t>
    </r>
    <r>
      <rPr>
        <sz val="9"/>
        <rFont val="Arial CE"/>
      </rPr>
      <t xml:space="preserve"> (OSM: prodej vodovovodů s 21% DPH)</t>
    </r>
  </si>
  <si>
    <r>
      <t xml:space="preserve">Přijaté dary na pořízení dlouhodobého majetku </t>
    </r>
    <r>
      <rPr>
        <sz val="10"/>
        <rFont val="Arial CE"/>
      </rPr>
      <t>(chodník Na Valech-spoluúčast, komunikace ČSAD r. 2021+ STECOMTRA as)</t>
    </r>
  </si>
  <si>
    <t>Ostatní investiční příjmy j.n.</t>
  </si>
  <si>
    <t xml:space="preserve">             SFPI - RPS Nerudova 1. etapa OSM</t>
  </si>
  <si>
    <r>
      <t xml:space="preserve">             IROP MMR Jičínská  272 - revitalizaci bytového domu </t>
    </r>
    <r>
      <rPr>
        <sz val="9"/>
        <rFont val="Arial"/>
      </rPr>
      <t>(odbor bytový)</t>
    </r>
  </si>
  <si>
    <r>
      <t xml:space="preserve">             IROP MMR Jičínská  275 - revitalizaci bytového domu </t>
    </r>
    <r>
      <rPr>
        <sz val="9"/>
        <rFont val="Arial"/>
      </rPr>
      <t>(odbor bytový)</t>
    </r>
  </si>
  <si>
    <t xml:space="preserve">             MMR Chodník k autobusové zastávce Bocheta </t>
  </si>
  <si>
    <t>Třída 4  - Přijaté transfery</t>
  </si>
  <si>
    <t xml:space="preserve">Neinvestiční přijaté transfery z všeobecné pokladní správy státního rozpočtu </t>
  </si>
  <si>
    <t xml:space="preserve">   VPS-volby prezidenta ČR (úz 98008)</t>
  </si>
  <si>
    <t xml:space="preserve">   VPS-kompenzační bonus 2022 (úz 98043)</t>
  </si>
  <si>
    <t xml:space="preserve">   VPS-volby do Senátu PČR a zastupitelstev obcí (úz 98187)</t>
  </si>
  <si>
    <r>
      <rPr>
        <b/>
        <sz val="10"/>
        <rFont val="Arial CE"/>
      </rPr>
      <t xml:space="preserve">Neinvestiční přijaté transfery ze státního rozpočtu v rámci souhrnného dotačního vztahu </t>
    </r>
    <r>
      <rPr>
        <sz val="10"/>
        <rFont val="Arial CE"/>
      </rPr>
      <t xml:space="preserve">(příspěvek na výkon státní správy)                                                                                                                                                                                                                                                                                                                                                                                                                                                               </t>
    </r>
  </si>
  <si>
    <t xml:space="preserve">Ostatní neinvestiční přijaté transfery ze státního rozpočtu </t>
  </si>
  <si>
    <t xml:space="preserve">              MPSV NIV-Na výkon sociální práce mimo SPOD (ÚZ 13015)</t>
  </si>
  <si>
    <t xml:space="preserve">              MPSV NIV-Výkon sociálně právní ochrany dětí (ÚZ 13024)</t>
  </si>
  <si>
    <t xml:space="preserve">              MMR IROP SR NIV-Digitalizací k Hi-tech výuce-ZŠ K68 (ÚZ 17015)</t>
  </si>
  <si>
    <t xml:space="preserve">              MMR IROP EU NIV-Digitalizací k Hi-tech výuce-ZŠ K68 (ÚZ 17016)</t>
  </si>
  <si>
    <t xml:space="preserve">              MMR IROP SR NIV-Revitalizaca BD Na Lani 212 (ÚZ 17015)</t>
  </si>
  <si>
    <t xml:space="preserve">              MMR IROP EU NIV-Revitalizaca BD Na Lani 212  (ÚZ 17016)</t>
  </si>
  <si>
    <t xml:space="preserve">              MMR IROP SR NIV-SVČ Fokus-Vybudování nových multifunčních dílen (ÚZ 17015)</t>
  </si>
  <si>
    <t xml:space="preserve">              MMR IROP EU NIV-SVČ Fokus-Vybudování nových multifunčních dílen  (ÚZ 17016)</t>
  </si>
  <si>
    <r>
      <t xml:space="preserve">              Mze-ostatní </t>
    </r>
    <r>
      <rPr>
        <sz val="9"/>
        <rFont val="Arial CE"/>
      </rPr>
      <t>(minimální podíl melioračních dřevin, aj.) ÚZ 29014</t>
    </r>
  </si>
  <si>
    <r>
      <t xml:space="preserve">              Mze NIV-</t>
    </r>
    <r>
      <rPr>
        <sz val="9"/>
        <rFont val="Arial CE"/>
      </rPr>
      <t>minimální podíl melioračních dřevin (ÚZ 29031 SR/EU)</t>
    </r>
  </si>
  <si>
    <t xml:space="preserve">              MŠMT-NIV-SR/EU-OP Jan Amos Komenský P2-MŠ Sady (ÚZ 33092)</t>
  </si>
  <si>
    <t xml:space="preserve">              MŠMT-NIV-SR/EU-OP Jan Amos Komenský P2-MŠ Trojlístek Mách (ÚZ 33092)</t>
  </si>
  <si>
    <t xml:space="preserve">              MŠMT-NIV-SR/EU-OP Jan Amos Komenský P2-MŠ Máj (ÚZ 33092)</t>
  </si>
  <si>
    <t xml:space="preserve">              MŠMT-NIV-SR/EU-OP Jan Amos Komenský P2-ZŠ K68 (ÚZ 33092)</t>
  </si>
  <si>
    <t xml:space="preserve">              MK-Modernizace automatizovaného knihovního systému-MěKS (ÚZ 34053)</t>
  </si>
  <si>
    <t xml:space="preserve">              MK-program regenerace MPR a MPZ - střecha radnice (ÚZ 34054)</t>
  </si>
  <si>
    <t>Neinvestiční přijaté transfery od obcí</t>
  </si>
  <si>
    <r>
      <rPr>
        <sz val="10"/>
        <rFont val="Arial CE"/>
      </rPr>
      <t xml:space="preserve">z toho: za veřejnoprávní smlouvy s ostatními obcemi na úseku přestupků </t>
    </r>
    <r>
      <rPr>
        <sz val="9"/>
        <rFont val="Arial CE"/>
      </rPr>
      <t>(odbor přestupkových agend)</t>
    </r>
  </si>
  <si>
    <r>
      <rPr>
        <sz val="10"/>
        <rFont val="Arial CE"/>
      </rPr>
      <t xml:space="preserve">             za veřejnopravní smlouvy s ostatními obcemi </t>
    </r>
    <r>
      <rPr>
        <sz val="9"/>
        <rFont val="Arial CE"/>
      </rPr>
      <t>(Městská policie-odchyt psů)</t>
    </r>
  </si>
  <si>
    <r>
      <t xml:space="preserve">             za veřejnopravní smlouvy s ostatními obcemi </t>
    </r>
    <r>
      <rPr>
        <sz val="9"/>
        <rFont val="Arial CE"/>
      </rPr>
      <t>(NCNJ-historický vlak - Kunín a Šenov u NJ)</t>
    </r>
  </si>
  <si>
    <t xml:space="preserve">             na poskytování podpory soc.služeb dle zákona o soc.službách ORJ 541, org.1113</t>
  </si>
  <si>
    <t xml:space="preserve">             na poskytování podpory soc.služeb dle zákona o soc.službách ORJ 541, org.1114</t>
  </si>
  <si>
    <t xml:space="preserve">             na poskytování podpory soc.služeb dle zákona o soc.službách ORJ 029, org.1119</t>
  </si>
  <si>
    <t xml:space="preserve">             financování a obnova vodovodu Hodslavice (odbor správy majetku - 2310441)</t>
  </si>
  <si>
    <t xml:space="preserve">             za veřejnoprávní smlouvy s ostatními obcemi (odbor životního prostředí - veř.zeleň)</t>
  </si>
  <si>
    <r>
      <rPr>
        <sz val="10"/>
        <rFont val="Arial CE"/>
      </rPr>
      <t xml:space="preserve">             za veřejnoprávní smlouvy s ostatními obcemi </t>
    </r>
    <r>
      <rPr>
        <sz val="9"/>
        <rFont val="Arial CE"/>
      </rPr>
      <t>(</t>
    </r>
    <r>
      <rPr>
        <sz val="10"/>
        <rFont val="Arial CE"/>
      </rPr>
      <t>stavební úřad</t>
    </r>
    <r>
      <rPr>
        <sz val="9"/>
        <rFont val="Arial CE"/>
      </rPr>
      <t>)</t>
    </r>
  </si>
  <si>
    <t xml:space="preserve">Neinvestiční přijaté transfery od krajů </t>
  </si>
  <si>
    <t xml:space="preserve">              soutěž O keramickou popelnici</t>
  </si>
  <si>
    <t xml:space="preserve">              okresní a kraj.soutěže typu AaB-SVČ Fokus (ÚZ 133)</t>
  </si>
  <si>
    <t xml:space="preserve">              zajištění výkonu regionálních funkcí knihoven-MěKS (ÚZ 345)</t>
  </si>
  <si>
    <t xml:space="preserve">              podpora turistických info center v MSK 2022 (ÚZ 672)</t>
  </si>
  <si>
    <t xml:space="preserve">              podpora technických atraktivit v NJ (ÚZ 692)</t>
  </si>
  <si>
    <t xml:space="preserve">              MSK Společná stezka pro chodce a cyklisty Rybníčky OSM (ÚZ 711)</t>
  </si>
  <si>
    <t xml:space="preserve">              komp.nákladů na zajiš.dočasného nouzového přístřeší a ubyt.pro osoby prchající z UA (ÚZ 900)</t>
  </si>
  <si>
    <r>
      <t xml:space="preserve">              poskyt.bezpl.stravy pro děti ze znevýh rodin </t>
    </r>
    <r>
      <rPr>
        <sz val="9"/>
        <rFont val="Arial CE"/>
      </rPr>
      <t>MŠ 3lístek Mách, ZŠ+MŠ Jub, ZŠ K66, ZŠ K68</t>
    </r>
    <r>
      <rPr>
        <sz val="10"/>
        <rFont val="Arial CE"/>
      </rPr>
      <t xml:space="preserve"> (ÚZ 13014)</t>
    </r>
  </si>
  <si>
    <r>
      <t xml:space="preserve">              poskytování sociálních služeb (ÚZ 13305) - </t>
    </r>
    <r>
      <rPr>
        <sz val="9"/>
        <rFont val="Arial CE"/>
      </rPr>
      <t>pro ProSenior</t>
    </r>
  </si>
  <si>
    <t xml:space="preserve">              Podpora okresních a krajských kol soutěží a přehlídek v zájm vzdělávání (ÚZ 33166)</t>
  </si>
  <si>
    <r>
      <t xml:space="preserve">Převody z rozpočtových účtů </t>
    </r>
    <r>
      <rPr>
        <sz val="9"/>
        <rFont val="Arial CE"/>
      </rPr>
      <t>(sociální fond 2.950.174,47 + FSS 559.400)</t>
    </r>
  </si>
  <si>
    <t>Investiční přijaté transfery ze státních fondů</t>
  </si>
  <si>
    <t xml:space="preserve">              SFDI-nákup vozidel pro PS NJ (90%)</t>
  </si>
  <si>
    <t>Ostatní investiční přijaté transfery ze státního rozpočtu</t>
  </si>
  <si>
    <t xml:space="preserve">              MPSV IV-OP Zaměstnanost-Projekt Efektivní veřejná správa (ÚZ 13013)</t>
  </si>
  <si>
    <t xml:space="preserve">              MMR IROP IV-EÚ Zborovská 11 (revitalizace bytového domu) - ÚZ 17968, 17969 (SR+EU)</t>
  </si>
  <si>
    <t xml:space="preserve">              MMR IROP IV-Na Lani 212 (revitalizace bytového domu) ÚZ 17968, 17969 (SR+EU)</t>
  </si>
  <si>
    <t xml:space="preserve">              MMR IROP IV-Digitalizací k Hi-tech výuce-ZŠ K68 (ÚZ 17968, 17969) SR+EU</t>
  </si>
  <si>
    <t xml:space="preserve">              MMR IROP SR IV-SVČ Fokus-Vybudování nových multifunčních dílen (ÚZ 17968)</t>
  </si>
  <si>
    <t xml:space="preserve">              MMR IROP EU IV-SVČ Fokus-Vybudování nových multifunčních dílen  (ÚZ 17969)</t>
  </si>
  <si>
    <t xml:space="preserve">              MMR Sítě TI Za Školou OSM (ÚZ 17977)</t>
  </si>
  <si>
    <t xml:space="preserve">              IROP Autobusová zastávka U Partyzána, Žilina OSM (ÚZ 17720)</t>
  </si>
  <si>
    <t xml:space="preserve">              MMR IROP EU IV- Autobusová zastávka U Partyzána, Žilina (ÚZ 17969)</t>
  </si>
  <si>
    <t xml:space="preserve">              MMR IROP EU IV Chodník k autobusové zastávce Bocheta </t>
  </si>
  <si>
    <t xml:space="preserve">              MPO IV-Opatření ke snížení energ.náročnosti VO-EFEKT 2021 (ÚZ 22500)</t>
  </si>
  <si>
    <t xml:space="preserve">              MK-Modernizace automatizovaného knihovního systému-MěKS (ÚZ 34544)</t>
  </si>
  <si>
    <t>Investiční přijaté transfery od krajů</t>
  </si>
  <si>
    <t xml:space="preserve">              MSK Rozšíření průmyslové zóny 2.etapa (ÚZ 201)</t>
  </si>
  <si>
    <t xml:space="preserve">              MSK Revitalizace veřejného prostranství býv.Horního nádraží NJ (ÚZ 612)</t>
  </si>
  <si>
    <t xml:space="preserve">              MSK Podpora technických atraktivit v NJ (ÚZ 692)</t>
  </si>
  <si>
    <r>
      <t xml:space="preserve">              MSK Cyklostezka NJ-Hostašovice, úsek vojenská vlečka (ÚZ 720)</t>
    </r>
    <r>
      <rPr>
        <sz val="9"/>
        <rFont val="Arial CE"/>
      </rPr>
      <t>-roky 2021-2022</t>
    </r>
  </si>
  <si>
    <t xml:space="preserve">              MSK Stezka pro chodce a cyklisty B.Martinů NJ-dělená (ÚZ 711)</t>
  </si>
  <si>
    <r>
      <t xml:space="preserve">Změna stavu krátkodobých prostředků na bankovních účtech </t>
    </r>
    <r>
      <rPr>
        <sz val="9"/>
        <rFont val="Arial CE"/>
      </rPr>
      <t>(zapojení konečných zůstatků k 31.12.2021 na účtech města+ zapojení zůstatku sociál.fondu z minulých let 2975,26 Kč)</t>
    </r>
  </si>
  <si>
    <r>
      <t>Dlouhodobé přijaté půjčené prostředky</t>
    </r>
    <r>
      <rPr>
        <sz val="9"/>
        <rFont val="Arial CE"/>
      </rPr>
      <t xml:space="preserve"> (investiční úvěr na akce: Revitalizace Bytový dům K Archívu 2-pokračuje do r. 2022 + Revitalizace Bytový dům Zborovská 11 + Revitalizace Bytový dům Na Lani 212)</t>
    </r>
  </si>
  <si>
    <r>
      <t xml:space="preserve">Uhrazené splátky dld přij.půjč.prostředků </t>
    </r>
    <r>
      <rPr>
        <sz val="10"/>
        <rFont val="Arial CE"/>
      </rPr>
      <t>(inv.úvěr na akce Revitalizace BD)</t>
    </r>
  </si>
  <si>
    <t>Změna stavu dlouhodobých prostředků na bankovních účtech</t>
  </si>
  <si>
    <t>Operace z peněžních účtů organizace nemající charakter příjmů a výdajů vládního sektoru</t>
  </si>
  <si>
    <t xml:space="preserve">            splátky úvěru do DSO regionu Novojičínska - Kanalizace Žilina-Loučka</t>
  </si>
  <si>
    <t xml:space="preserve">            DPH - přenesená daňová povinnost</t>
  </si>
  <si>
    <t xml:space="preserve">            kauce - odbor správy majetku</t>
  </si>
  <si>
    <t>Přijetí kontokorentního úvěru</t>
  </si>
  <si>
    <t>102 - Vodní hospodářství</t>
  </si>
  <si>
    <r>
      <rPr>
        <b/>
        <sz val="10"/>
        <rFont val="Arial CE"/>
      </rPr>
      <t>Pitná voda</t>
    </r>
    <r>
      <rPr>
        <sz val="9"/>
        <rFont val="Arial CE"/>
      </rPr>
      <t xml:space="preserve"> (účet 2310800)</t>
    </r>
  </si>
  <si>
    <t>0387/2310/5151</t>
  </si>
  <si>
    <t xml:space="preserve">           dovoz pitné vody </t>
  </si>
  <si>
    <t>0387/2310/5169</t>
  </si>
  <si>
    <r>
      <rPr>
        <sz val="10"/>
        <rFont val="Arial CE"/>
      </rPr>
      <t xml:space="preserve">           </t>
    </r>
    <r>
      <rPr>
        <sz val="9"/>
        <rFont val="Arial CE"/>
      </rPr>
      <t xml:space="preserve">PD k opravám, pasport vodovodů </t>
    </r>
  </si>
  <si>
    <t>0387/2310/5171</t>
  </si>
  <si>
    <r>
      <rPr>
        <sz val="10"/>
        <rFont val="Arial CE"/>
      </rPr>
      <t xml:space="preserve">           </t>
    </r>
    <r>
      <rPr>
        <sz val="9"/>
        <rFont val="Arial CE"/>
      </rPr>
      <t>opravy a udržba</t>
    </r>
  </si>
  <si>
    <r>
      <rPr>
        <b/>
        <sz val="10"/>
        <rFont val="Arial CE"/>
      </rPr>
      <t xml:space="preserve">Odvádění a čištění odpadních vod a nakládání s kaly </t>
    </r>
    <r>
      <rPr>
        <sz val="9"/>
        <rFont val="Arial CE"/>
      </rPr>
      <t>(účet 2310800)</t>
    </r>
  </si>
  <si>
    <t>0387/2321/5151</t>
  </si>
  <si>
    <t xml:space="preserve">            studená voda </t>
  </si>
  <si>
    <t>0387/2321/5169</t>
  </si>
  <si>
    <t xml:space="preserve">                revize, poplatky, PD k opravám, z toho Svazek obcí 62,01250 (účet DPH)</t>
  </si>
  <si>
    <t>0387/2321/5171</t>
  </si>
  <si>
    <t xml:space="preserve">            opravy a údržba</t>
  </si>
  <si>
    <r>
      <t xml:space="preserve">            Plán financování obnovy </t>
    </r>
    <r>
      <rPr>
        <sz val="9"/>
        <rFont val="Arial CE"/>
      </rPr>
      <t>(účet 2310441) - opr. a udržování (rekonstrukce - obnova kanal.šachet )</t>
    </r>
  </si>
  <si>
    <r>
      <t>Úpravy drobných vodních toků</t>
    </r>
    <r>
      <rPr>
        <sz val="9"/>
        <rFont val="Arial CE"/>
      </rPr>
      <t xml:space="preserve"> (účet 2310800)</t>
    </r>
  </si>
  <si>
    <t>0387/2333/5169</t>
  </si>
  <si>
    <t xml:space="preserve">           služby - čištění vodní toků</t>
  </si>
  <si>
    <t>0387/2333/5171</t>
  </si>
  <si>
    <t xml:space="preserve">           opravy a udržování</t>
  </si>
  <si>
    <t>110 - Doprava</t>
  </si>
  <si>
    <r>
      <rPr>
        <b/>
        <sz val="10"/>
        <rFont val="Arial CE"/>
      </rPr>
      <t xml:space="preserve">Silnice </t>
    </r>
    <r>
      <rPr>
        <sz val="8"/>
        <rFont val="Arial CE"/>
      </rPr>
      <t>(účet 2310800)</t>
    </r>
  </si>
  <si>
    <t>z toho: investice celkem</t>
  </si>
  <si>
    <t>5459/2212/6121</t>
  </si>
  <si>
    <t xml:space="preserve">                  Přechody Dukelská, Anenská (podíl města)</t>
  </si>
  <si>
    <t>0517/2212/5331</t>
  </si>
  <si>
    <r>
      <t xml:space="preserve">z toho: veřejně prospěšné práce </t>
    </r>
    <r>
      <rPr>
        <sz val="9"/>
        <rFont val="Arial CE"/>
      </rPr>
      <t>(TSM)</t>
    </r>
  </si>
  <si>
    <r>
      <rPr>
        <sz val="10"/>
        <rFont val="Arial CE"/>
      </rPr>
      <t xml:space="preserve">             oprava a údržba místních komunikací </t>
    </r>
    <r>
      <rPr>
        <sz val="9"/>
        <rFont val="Arial CE"/>
      </rPr>
      <t>(TSM)</t>
    </r>
  </si>
  <si>
    <t>0386/2212/5171</t>
  </si>
  <si>
    <t xml:space="preserve">             oprava a údržba místních komunikací - město</t>
  </si>
  <si>
    <t>0386/2212/5169</t>
  </si>
  <si>
    <r>
      <t xml:space="preserve">             </t>
    </r>
    <r>
      <rPr>
        <sz val="10"/>
        <rFont val="Arial CE"/>
      </rPr>
      <t>služby - mostní prohlídky 500, pasport místních komunikací 1500-500 , ost. služby 300</t>
    </r>
  </si>
  <si>
    <r>
      <rPr>
        <b/>
        <sz val="10"/>
        <rFont val="Arial CE"/>
      </rPr>
      <t xml:space="preserve">Ostatní záležitosti pozemních komunikací </t>
    </r>
    <r>
      <rPr>
        <sz val="9"/>
        <rFont val="Arial CE"/>
      </rPr>
      <t>(účet 2310800)</t>
    </r>
  </si>
  <si>
    <t>z toho: Investice celkem</t>
  </si>
  <si>
    <t>0386/2219/6121</t>
  </si>
  <si>
    <t xml:space="preserve">                   Zpřístupnění lesoparku na Skalkách - chodník od jihu </t>
  </si>
  <si>
    <t>5373/2219/6121</t>
  </si>
  <si>
    <t xml:space="preserve">                   Parkoviště Žilina p.č. 673/2 (u kostela)</t>
  </si>
  <si>
    <t>5447/2219/6121</t>
  </si>
  <si>
    <t xml:space="preserve">                   Parkoviště Dlouhá (výměníková stanice - bytový dům 40)</t>
  </si>
  <si>
    <t>7385/2219/6121</t>
  </si>
  <si>
    <t xml:space="preserve">                   kontejnerová stání</t>
  </si>
  <si>
    <t>0517/2219/6351</t>
  </si>
  <si>
    <t xml:space="preserve">                   přísp.TSM-inv-chodník v areálu TSM</t>
  </si>
  <si>
    <t xml:space="preserve">                   přísp TSM-inv-dohoda o narovnání s WSA doprava a parkování s.r.o.</t>
  </si>
  <si>
    <t>0386/2219/5164</t>
  </si>
  <si>
    <t xml:space="preserve">           nájemné DZ</t>
  </si>
  <si>
    <t>0386/2219/5169</t>
  </si>
  <si>
    <t xml:space="preserve">           služby - PD k opravám, revize</t>
  </si>
  <si>
    <t>0386/2219/5171</t>
  </si>
  <si>
    <t xml:space="preserve">           opravy a údržba chodníků</t>
  </si>
  <si>
    <r>
      <rPr>
        <b/>
        <sz val="10"/>
        <rFont val="Arial CE"/>
      </rPr>
      <t>Provoz veřejné silniční dopravy</t>
    </r>
    <r>
      <rPr>
        <sz val="9"/>
        <rFont val="Arial CE"/>
      </rPr>
      <t xml:space="preserve"> (účet 2310800)</t>
    </r>
  </si>
  <si>
    <t>0386/2221/6121</t>
  </si>
  <si>
    <t xml:space="preserve">               Přístřešek na autobusové zastávce  na ul. Gregorova u zdravotního střediska </t>
  </si>
  <si>
    <t>0386/2221/5169</t>
  </si>
  <si>
    <t xml:space="preserve">          služby - revize, poplatky</t>
  </si>
  <si>
    <t>0386/2221/5171</t>
  </si>
  <si>
    <t xml:space="preserve">          opravy autobusových přístřešků</t>
  </si>
  <si>
    <t>120 - Majetkoprávní záležitosti</t>
  </si>
  <si>
    <t>Komunální služby a územní rozvoj j.n.</t>
  </si>
  <si>
    <t>0092/3639/6130</t>
  </si>
  <si>
    <t>z toho: investice - výkupy pozemků</t>
  </si>
  <si>
    <t>0002/3639/5122</t>
  </si>
  <si>
    <r>
      <rPr>
        <sz val="10"/>
        <rFont val="Arial CE"/>
      </rPr>
      <t xml:space="preserve">            věcná břemena (</t>
    </r>
    <r>
      <rPr>
        <sz val="9"/>
        <rFont val="Arial CE"/>
      </rPr>
      <t>účet 2310440)</t>
    </r>
  </si>
  <si>
    <r>
      <rPr>
        <sz val="10"/>
        <rFont val="Arial CE"/>
      </rPr>
      <t xml:space="preserve">            věcná břemena (</t>
    </r>
    <r>
      <rPr>
        <sz val="9"/>
        <rFont val="Arial CE"/>
      </rPr>
      <t>účet 2310800)</t>
    </r>
  </si>
  <si>
    <t>0092/3639/5164</t>
  </si>
  <si>
    <t xml:space="preserve">            majetkoprávní - nájemné</t>
  </si>
  <si>
    <t>0092/3639/5166</t>
  </si>
  <si>
    <t xml:space="preserve">            majetkoprávní - znalecké posudky</t>
  </si>
  <si>
    <t>0092/3639/5169</t>
  </si>
  <si>
    <t xml:space="preserve">            majetkoprávní - posudky a geometrické plány</t>
  </si>
  <si>
    <t>0092/3639/5361</t>
  </si>
  <si>
    <t xml:space="preserve">            majetkoprávní - nákup kolků (+provozní záloha 10tis)</t>
  </si>
  <si>
    <t>0092/3639/5362</t>
  </si>
  <si>
    <t xml:space="preserve">            majetkoprávní - správní poplatky</t>
  </si>
  <si>
    <t xml:space="preserve">139 - Komunální služby </t>
  </si>
  <si>
    <r>
      <rPr>
        <b/>
        <sz val="10"/>
        <rFont val="Arial CE"/>
      </rPr>
      <t>Rozhlas a televize</t>
    </r>
    <r>
      <rPr>
        <sz val="9"/>
        <rFont val="Arial CE"/>
      </rPr>
      <t xml:space="preserve"> (účet 2310800) </t>
    </r>
  </si>
  <si>
    <t>0513/3341/5171</t>
  </si>
  <si>
    <t xml:space="preserve">            opravy a udržování</t>
  </si>
  <si>
    <t>0513/3341/5362</t>
  </si>
  <si>
    <t xml:space="preserve">            platby poplatky </t>
  </si>
  <si>
    <r>
      <rPr>
        <b/>
        <sz val="10"/>
        <rFont val="Arial CE"/>
      </rPr>
      <t xml:space="preserve">Využití volného času dětí a mládeže </t>
    </r>
    <r>
      <rPr>
        <sz val="9"/>
        <rFont val="Arial CE"/>
      </rPr>
      <t>(účet 2310800)</t>
    </r>
  </si>
  <si>
    <t>0517/3421/5331</t>
  </si>
  <si>
    <t xml:space="preserve">             Dětská hřiště - příspěvek na údržbu a opravy (TSM)</t>
  </si>
  <si>
    <t>0382/3421/5137</t>
  </si>
  <si>
    <t xml:space="preserve">             Dětská hřiště  - drobný hmotný dlouhodobý majetek</t>
  </si>
  <si>
    <t>0382/3421/5139</t>
  </si>
  <si>
    <t xml:space="preserve">                                      - nákup materiálu j.n.</t>
  </si>
  <si>
    <t>0382/3421/5169</t>
  </si>
  <si>
    <t xml:space="preserve">                                      - služby, revize, kontroly</t>
  </si>
  <si>
    <t>0382/3421/5171</t>
  </si>
  <si>
    <t xml:space="preserve">                                      - opravy a údržba</t>
  </si>
  <si>
    <t>0382/3421/6121</t>
  </si>
  <si>
    <t xml:space="preserve">            investice (vybudování nového pískoviště na Skalkách)</t>
  </si>
  <si>
    <t xml:space="preserve">            investice (Workoutové hřiště Palackého)</t>
  </si>
  <si>
    <r>
      <rPr>
        <b/>
        <sz val="10"/>
        <rFont val="Arial CE"/>
      </rPr>
      <t xml:space="preserve">Nebytové hospodářství </t>
    </r>
    <r>
      <rPr>
        <sz val="9"/>
        <rFont val="Arial CE"/>
      </rPr>
      <t>(účet 2310800)</t>
    </r>
  </si>
  <si>
    <t>5477/3613/6121</t>
  </si>
  <si>
    <t xml:space="preserve">          Investice:   Odpočívka pro cyklisty u drážního domku - posedové schodiště </t>
  </si>
  <si>
    <t>0382/3613/5137</t>
  </si>
  <si>
    <t xml:space="preserve">              drobný hmotný dlouhodobý majetek</t>
  </si>
  <si>
    <t>0382/3613/5139</t>
  </si>
  <si>
    <t xml:space="preserve">              nákup materiálu j.n.</t>
  </si>
  <si>
    <t>0382/3613/5151</t>
  </si>
  <si>
    <t xml:space="preserve">              voda (fontány, MN)</t>
  </si>
  <si>
    <t>0382/3613/5154</t>
  </si>
  <si>
    <t xml:space="preserve">              elektrická energie (MN sloupky, fontány, letní kino)</t>
  </si>
  <si>
    <t>0382/3613/5169</t>
  </si>
  <si>
    <t xml:space="preserve">              služby, revize, prohlídky</t>
  </si>
  <si>
    <t>0382/3613/5171</t>
  </si>
  <si>
    <t xml:space="preserve">              opravy a údržba (z toho 60 nátěry v MPR)</t>
  </si>
  <si>
    <r>
      <rPr>
        <b/>
        <sz val="10"/>
        <rFont val="Arial CE"/>
      </rPr>
      <t xml:space="preserve">Veřejné osvětlení (VO) </t>
    </r>
    <r>
      <rPr>
        <sz val="9"/>
        <rFont val="Arial CE"/>
      </rPr>
      <t>(účet 2310800)</t>
    </r>
  </si>
  <si>
    <t xml:space="preserve">             investice celkem</t>
  </si>
  <si>
    <t>5478/3631/6121</t>
  </si>
  <si>
    <t xml:space="preserve">                   VO Straník u hřbitova PD</t>
  </si>
  <si>
    <t>5480/3631/6121</t>
  </si>
  <si>
    <t xml:space="preserve">                   VO K. Schwarze PD</t>
  </si>
  <si>
    <t>5481/3631/6121</t>
  </si>
  <si>
    <t xml:space="preserve">                   VO Zborovská PD</t>
  </si>
  <si>
    <t>5365/3631/6121</t>
  </si>
  <si>
    <t xml:space="preserve">                   VO Skalky</t>
  </si>
  <si>
    <t>0517/3631/5331</t>
  </si>
  <si>
    <t xml:space="preserve">             TSM VO - příspěvek na údržbu a opravy</t>
  </si>
  <si>
    <t>0382/3631/5169</t>
  </si>
  <si>
    <t xml:space="preserve">             služby, revize, prohlídky</t>
  </si>
  <si>
    <t>0382/3631/51xx</t>
  </si>
  <si>
    <t xml:space="preserve">             výměna osvětlení na náměstí</t>
  </si>
  <si>
    <t>0382/3631/5171</t>
  </si>
  <si>
    <t xml:space="preserve">             opravy a údržba</t>
  </si>
  <si>
    <t>0382/3631/5154</t>
  </si>
  <si>
    <t xml:space="preserve">             elektrická energie </t>
  </si>
  <si>
    <r>
      <rPr>
        <b/>
        <sz val="10"/>
        <rFont val="Arial CE"/>
      </rPr>
      <t xml:space="preserve">Pohřebnictví </t>
    </r>
    <r>
      <rPr>
        <sz val="10"/>
        <rFont val="Arial CE"/>
      </rPr>
      <t xml:space="preserve">(účet 2310800) </t>
    </r>
  </si>
  <si>
    <t xml:space="preserve"> investice - inv. příspěvky TSM</t>
  </si>
  <si>
    <t>0517/3632/6351</t>
  </si>
  <si>
    <t xml:space="preserve">                    Projektová dokumentace ke GO smuteční síně a márnice</t>
  </si>
  <si>
    <t xml:space="preserve">                    PD kolumbárium, obnova stávajícího kolumbária, vsypové loučky a rozptylové loučky</t>
  </si>
  <si>
    <t xml:space="preserve">                    PD chodníky a sítě</t>
  </si>
  <si>
    <t>0517/3632/5331</t>
  </si>
  <si>
    <t xml:space="preserve">             hřbitovy -  příspěvek na údržbu a opravy TSM</t>
  </si>
  <si>
    <t>0382/3632/5171</t>
  </si>
  <si>
    <t xml:space="preserve">             opravy a údržba hřbitova</t>
  </si>
  <si>
    <r>
      <rPr>
        <b/>
        <sz val="10"/>
        <rFont val="Arial CE"/>
      </rPr>
      <t>Výstavba a údržba místních inženýrských sítí (IS)</t>
    </r>
    <r>
      <rPr>
        <sz val="9"/>
        <rFont val="Arial CE"/>
      </rPr>
      <t xml:space="preserve"> (účet 2310800)</t>
    </r>
  </si>
  <si>
    <r>
      <rPr>
        <sz val="10"/>
        <rFont val="Arial CE"/>
      </rPr>
      <t xml:space="preserve">investice - přísp.ve výši 1/3 skutečných nákladů na dostavbu IS Za Školou 2.etapa </t>
    </r>
    <r>
      <rPr>
        <sz val="9"/>
        <rFont val="Arial CE"/>
      </rPr>
      <t>(s následným převedením všech IS včetně komunikace na město)</t>
    </r>
  </si>
  <si>
    <r>
      <rPr>
        <b/>
        <sz val="10"/>
        <rFont val="Arial CE"/>
      </rPr>
      <t>Komunální služby a územní rozvoj j.n.</t>
    </r>
    <r>
      <rPr>
        <sz val="9"/>
        <rFont val="Arial CE"/>
      </rPr>
      <t xml:space="preserve"> </t>
    </r>
  </si>
  <si>
    <t>0382/3639/6121</t>
  </si>
  <si>
    <r>
      <t xml:space="preserve">investice - zápočet oplocení p. Perútka </t>
    </r>
    <r>
      <rPr>
        <sz val="9"/>
        <rFont val="Arial CE"/>
      </rPr>
      <t>(účet 2310440)</t>
    </r>
  </si>
  <si>
    <t>0382/3639/5139</t>
  </si>
  <si>
    <r>
      <rPr>
        <sz val="10"/>
        <rFont val="Arial CE"/>
      </rPr>
      <t xml:space="preserve">                    přípojky na televizní kabelové rozvody Straník - materiál</t>
    </r>
    <r>
      <rPr>
        <sz val="9"/>
        <rFont val="Arial CE"/>
      </rPr>
      <t xml:space="preserve"> (účet 231 0800)</t>
    </r>
  </si>
  <si>
    <r>
      <rPr>
        <b/>
        <sz val="10"/>
        <rFont val="Arial CE"/>
      </rPr>
      <t xml:space="preserve">Ostatní záležitosti bydlení, komunálních služeb a územního rozvoje </t>
    </r>
    <r>
      <rPr>
        <sz val="9"/>
        <rFont val="Arial CE"/>
      </rPr>
      <t>(účet 2310800)</t>
    </r>
  </si>
  <si>
    <t xml:space="preserve"> investice  - inv. příspěvky TSM</t>
  </si>
  <si>
    <t>0517/3699/6351</t>
  </si>
  <si>
    <t xml:space="preserve">                      dřevěné prodejní stánky </t>
  </si>
  <si>
    <t>0517/3699/5331</t>
  </si>
  <si>
    <r>
      <rPr>
        <sz val="10"/>
        <rFont val="Arial CE"/>
      </rPr>
      <t xml:space="preserve"> mobiliář </t>
    </r>
    <r>
      <rPr>
        <sz val="9"/>
        <rFont val="Arial CE"/>
      </rPr>
      <t>(TSM 200)</t>
    </r>
  </si>
  <si>
    <t>602 - Vodní hospodářství</t>
  </si>
  <si>
    <t>5387/2310/6121</t>
  </si>
  <si>
    <t xml:space="preserve">                      Vodovod Žilina, Pstruží potok - Životice </t>
  </si>
  <si>
    <t>6387/2310/6121</t>
  </si>
  <si>
    <t xml:space="preserve">                      Vodovod Bludovice, Záhumenní </t>
  </si>
  <si>
    <t>5429/2321/6121</t>
  </si>
  <si>
    <t xml:space="preserve">                      Odvodnění cyklo Loučka</t>
  </si>
  <si>
    <t>5434/2321/6121</t>
  </si>
  <si>
    <t xml:space="preserve">                      Jednotná kanalizace Žilina, Příčná PD</t>
  </si>
  <si>
    <t>8387/2321/6121</t>
  </si>
  <si>
    <t xml:space="preserve">                      Kanalizace Žilina, Okružní PD</t>
  </si>
  <si>
    <t>9387/2321/6121</t>
  </si>
  <si>
    <t xml:space="preserve">                      Kanalizace Trlicova - aktualizace PD</t>
  </si>
  <si>
    <t>610 - Doprava</t>
  </si>
  <si>
    <r>
      <rPr>
        <b/>
        <sz val="10"/>
        <rFont val="Arial CE"/>
      </rPr>
      <t xml:space="preserve">Silnice </t>
    </r>
    <r>
      <rPr>
        <sz val="9"/>
        <rFont val="Arial CE"/>
      </rPr>
      <t>(účet 2310800)</t>
    </r>
  </si>
  <si>
    <t xml:space="preserve">                     Velkoplošné opravy MK nad 500 000 Kč - služby</t>
  </si>
  <si>
    <t xml:space="preserve">                     Velkoplošné opravy MK nad 500 000 Kč </t>
  </si>
  <si>
    <t>4385/2212/6121</t>
  </si>
  <si>
    <t xml:space="preserve">                     Rondel Gen.Hlaďo - K Nemocnici (podíl města)</t>
  </si>
  <si>
    <t>5390/2212/6121</t>
  </si>
  <si>
    <t xml:space="preserve">                     Most - propustek Straník u č.p. 86 </t>
  </si>
  <si>
    <t>5397/2212/6121</t>
  </si>
  <si>
    <t xml:space="preserve">                     Komunikace Žilina, Za Školou</t>
  </si>
  <si>
    <t>5414/2212/6121</t>
  </si>
  <si>
    <t xml:space="preserve">                     Komunikace Žilina, Potoční</t>
  </si>
  <si>
    <t xml:space="preserve">                     Přechody Dukelská, Anenská (podíl města)</t>
  </si>
  <si>
    <t>5433/2212/6121</t>
  </si>
  <si>
    <t xml:space="preserve">                     Lávka Novosady PD </t>
  </si>
  <si>
    <t>5440/2212/6121</t>
  </si>
  <si>
    <t xml:space="preserve">                     Komunikace - propojení Hoblíkova - Žižkova PD</t>
  </si>
  <si>
    <t>5442/2212/6121</t>
  </si>
  <si>
    <t xml:space="preserve">                     Rekonstrukce komunikace Straník - Kojetín</t>
  </si>
  <si>
    <t>8386/2212/6121</t>
  </si>
  <si>
    <t xml:space="preserve">                     Most Revoluční u domu č.p. 105 Bludovice</t>
  </si>
  <si>
    <t>9386/2212/6121</t>
  </si>
  <si>
    <t xml:space="preserve">                     Most Loučka, V Kútě PD</t>
  </si>
  <si>
    <t>9388/2212/6121</t>
  </si>
  <si>
    <t xml:space="preserve">                     Stacionární místo pro radar Bludovice</t>
  </si>
  <si>
    <t xml:space="preserve">                     Velkoplošné opravy chodníků nad 500 000 Kč - služby</t>
  </si>
  <si>
    <t xml:space="preserve">                     Velkoplošné opravy chodníků nad 500 000 Kč </t>
  </si>
  <si>
    <t>2384/2219/6121</t>
  </si>
  <si>
    <t xml:space="preserve">                     Laudonovo nádvoří PD</t>
  </si>
  <si>
    <t>5370/2219/6121</t>
  </si>
  <si>
    <t xml:space="preserve">                     Čerťák 3. etapa (z toho PD 200)</t>
  </si>
  <si>
    <t xml:space="preserve">                     Parkoviště Žilina p.č. 673/2 (u kostela)</t>
  </si>
  <si>
    <t>5371/2219/6121</t>
  </si>
  <si>
    <t xml:space="preserve">                     Chodník Žilina, Pstruží potok-Životice PD</t>
  </si>
  <si>
    <t>5375/2219/6121</t>
  </si>
  <si>
    <t xml:space="preserve">                     Chodník, opěrná zeď Revoluční I/57</t>
  </si>
  <si>
    <t>5406/2219/6121</t>
  </si>
  <si>
    <t xml:space="preserve">                     Parkovací stání Dlouhá (Palackého - Budovatelů) </t>
  </si>
  <si>
    <t>5417/2219/6121</t>
  </si>
  <si>
    <t xml:space="preserve">                    Chodník k autobusové zastávce Bocheta  (realizace jen v případě dotace)</t>
  </si>
  <si>
    <t>5420/2219/6121</t>
  </si>
  <si>
    <t xml:space="preserve">                    Parkoviště Vančurova, podélná stání PD</t>
  </si>
  <si>
    <t>5460/2219/6121</t>
  </si>
  <si>
    <t xml:space="preserve">                    Parkoviště Vančurova, u garáží PD</t>
  </si>
  <si>
    <t>5431/2219/6121</t>
  </si>
  <si>
    <t xml:space="preserve">                    Chodník u silnice I/57 p.č. 700/1 Bludovice, 2.et. PD </t>
  </si>
  <si>
    <t>5443/2219/6121,5169</t>
  </si>
  <si>
    <t xml:space="preserve">                    Společná stezka pro chodce a cyklisty Rybníčky</t>
  </si>
  <si>
    <t>5444/2219/6121</t>
  </si>
  <si>
    <t xml:space="preserve">                    Parkoviště Hoblíkova PD</t>
  </si>
  <si>
    <t>5445/2219/6121</t>
  </si>
  <si>
    <t xml:space="preserve">                    Parkoviště Budovatelů, bytové domy 5,7,9</t>
  </si>
  <si>
    <t>5446/2219/6121</t>
  </si>
  <si>
    <t xml:space="preserve">                    Parkovací stání Dlouhá, bytové domy 42 - 48 PD</t>
  </si>
  <si>
    <t xml:space="preserve">                    Parkoviště Dlouhá (výměníková stanice - bytový dům 40)</t>
  </si>
  <si>
    <t>5448/2219/6121</t>
  </si>
  <si>
    <t xml:space="preserve">                    Parkoviště Luční p.č. 218/9 PD</t>
  </si>
  <si>
    <t>5450/2219/6121</t>
  </si>
  <si>
    <t xml:space="preserve">                    Parkoviště Smetanovy sady, bytové domy 20, 22, 24 PD</t>
  </si>
  <si>
    <t>5461/2219/6121</t>
  </si>
  <si>
    <t xml:space="preserve">                    Parkoviště Dlouhá, obytná komunikace, bytové domy 50, 52 PD</t>
  </si>
  <si>
    <t>5462/2219/6121</t>
  </si>
  <si>
    <t xml:space="preserve">                    Parkoviště Dlouhá, podél komunikace ve svahu, p.č. 608/1 PD</t>
  </si>
  <si>
    <t>5463/2219/6121</t>
  </si>
  <si>
    <t xml:space="preserve">                    Parkoviště Na Lani p.č. 426/1 (změna z podélného na kolmé) PD</t>
  </si>
  <si>
    <t>5464/2219/6121</t>
  </si>
  <si>
    <t xml:space="preserve">                    Parkoviště MŠ Na Drážkách PD</t>
  </si>
  <si>
    <t>5465/2219/6121</t>
  </si>
  <si>
    <t xml:space="preserve">                    Parkoviště MŠ Máj PD</t>
  </si>
  <si>
    <t>5451/2219/6121</t>
  </si>
  <si>
    <t xml:space="preserve">                    Regenerace PS Nerudova I. etapa</t>
  </si>
  <si>
    <t>5466/2219/6121</t>
  </si>
  <si>
    <t xml:space="preserve">                    Regenerace PS Nerudova II. etapa PD</t>
  </si>
  <si>
    <t xml:space="preserve">                    Regenerace PS Nerudova III. etapa</t>
  </si>
  <si>
    <t>5467/2219/6121</t>
  </si>
  <si>
    <t xml:space="preserve">                    Regenerace PS Nerudova, etážové stání  PD</t>
  </si>
  <si>
    <t>5468/2219/6121</t>
  </si>
  <si>
    <t xml:space="preserve">                    Revitalizace Horního nádraží - parkoviště PD</t>
  </si>
  <si>
    <t>5469/2219/6121</t>
  </si>
  <si>
    <t xml:space="preserve">                    Cyklostezka B. Martinů PD</t>
  </si>
  <si>
    <t>5470/2219/6121</t>
  </si>
  <si>
    <t xml:space="preserve">                    Parkoviště, cyklostezka ve sportovním arálu, Divadelní PD</t>
  </si>
  <si>
    <t>5471/2219/6121</t>
  </si>
  <si>
    <t xml:space="preserve">                    Cyklostezka Loučka, Za Korunou PD</t>
  </si>
  <si>
    <t>5452/2219/6121</t>
  </si>
  <si>
    <t xml:space="preserve">                    Zpevněné plochy, mobiliář Tyršova</t>
  </si>
  <si>
    <t>5458/2219/6121</t>
  </si>
  <si>
    <t xml:space="preserve">                    Zpevněná plocha podél komunikace I/57, Revoluční</t>
  </si>
  <si>
    <t xml:space="preserve">                    Kontejnerová stání </t>
  </si>
  <si>
    <t>8384/2219/6121</t>
  </si>
  <si>
    <t xml:space="preserve">                    Parkoviště Restaurace Na Skalkách </t>
  </si>
  <si>
    <t>5398/2221/6121</t>
  </si>
  <si>
    <t xml:space="preserve">                    Autobusová zastávka Žilina, U Partyzána </t>
  </si>
  <si>
    <t>5407/2221/6121</t>
  </si>
  <si>
    <t xml:space="preserve">                    Autobusová zastávka Žilina, U Požární zbrojnice</t>
  </si>
  <si>
    <t>5455/2221/6121</t>
  </si>
  <si>
    <t xml:space="preserve">                    Autobusová zastávka Straník p.č. 191/45 PD</t>
  </si>
  <si>
    <t>5472/2221/6121</t>
  </si>
  <si>
    <t xml:space="preserve">                    Autobusová zastávka Riegrova PD</t>
  </si>
  <si>
    <t>614 - Investiční akce OŠKS-školství na ORI</t>
  </si>
  <si>
    <t>Mateřské školy</t>
  </si>
  <si>
    <t>0305/3111/6121</t>
  </si>
  <si>
    <t xml:space="preserve">                    MŠ Sady-rekonstrukce kuchyně MŠ Jiráskova vč. vzduchotechniky</t>
  </si>
  <si>
    <t>1400/3111/6121</t>
  </si>
  <si>
    <t xml:space="preserve">                    MŠ Trojlístek-PD elektro MŠ Kom</t>
  </si>
  <si>
    <t>1401/3111/6121</t>
  </si>
  <si>
    <t xml:space="preserve">                    MŠ Trojlístek-PD na zateplení budovy MŠ Mách</t>
  </si>
  <si>
    <t>1402/3111/6121</t>
  </si>
  <si>
    <t xml:space="preserve">                    MŠ Trojlístek-PD na zahradu MŠ Kom</t>
  </si>
  <si>
    <t>1403/3111/6121</t>
  </si>
  <si>
    <t xml:space="preserve">                    MŠ Sady-PD na revitalizaci zahrady MŠ Jir</t>
  </si>
  <si>
    <t xml:space="preserve">615 - Oddělení rozvoje - plány, marketing, Zdravé město </t>
  </si>
  <si>
    <r>
      <t xml:space="preserve">Nebytové hospodářství  - oddělení investic </t>
    </r>
    <r>
      <rPr>
        <sz val="9"/>
        <rFont val="Arial CE"/>
      </rPr>
      <t>(účet 2310800)</t>
    </r>
  </si>
  <si>
    <t>1388/3613/5169</t>
  </si>
  <si>
    <t xml:space="preserve">                    Studie - oddělení investic (parkování u výměníku ul. Dlouhá ...)</t>
  </si>
  <si>
    <r>
      <t>Komunální služby a úz.rozvoj - plány, propagace, marketing, Zdravé město</t>
    </r>
    <r>
      <rPr>
        <sz val="9"/>
        <rFont val="Arial CE"/>
      </rPr>
      <t xml:space="preserve"> (účet 2310800)</t>
    </r>
  </si>
  <si>
    <t>1388/3639/5021</t>
  </si>
  <si>
    <t xml:space="preserve">                    Dohody (odměny) - architektonická soutěž Hala Jičínka</t>
  </si>
  <si>
    <t>1388/3639/5139</t>
  </si>
  <si>
    <t xml:space="preserve">                    Ostatní materiál</t>
  </si>
  <si>
    <t>1388/3639/5166</t>
  </si>
  <si>
    <t xml:space="preserve">                    Konzultační služby (městský architekt)</t>
  </si>
  <si>
    <t>1388/3639/5169</t>
  </si>
  <si>
    <t xml:space="preserve">                    Rozvojové plány a studie 1120; arch.soutěž Hala Jičínka-ocenění soutěžících 1850; administrace projektu 235; cykloopatření 200; Zdravé město 95; participativní rozpočet 500-200</t>
  </si>
  <si>
    <t>1388/3639/5175</t>
  </si>
  <si>
    <t xml:space="preserve">                   Pohoštění</t>
  </si>
  <si>
    <t>616 - Akce OŠKS-kultura na ORI</t>
  </si>
  <si>
    <t>Divadelní činnost - Beskydské divadlo</t>
  </si>
  <si>
    <t>0504/3311/5171</t>
  </si>
  <si>
    <t xml:space="preserve">                   oprava vzduchotechniky v Beskydském divadle NJ</t>
  </si>
  <si>
    <t>Zájmová činnost v kultuře - MěKS NJ</t>
  </si>
  <si>
    <t>0501/3392/6121</t>
  </si>
  <si>
    <t xml:space="preserve">                   PD na celkovou rekonstrukci Kina Květen vč. vzduchotechniky, topení a audio</t>
  </si>
  <si>
    <t>1600/3392/5171</t>
  </si>
  <si>
    <t xml:space="preserve">                   sanace Městské knihovny-II.etapa </t>
  </si>
  <si>
    <t>635 - Akce OŽP-životní prostředí na ORI</t>
  </si>
  <si>
    <t>Péče o vzhled obcí a veřejnou zeleň</t>
  </si>
  <si>
    <t>0517/3745/6121</t>
  </si>
  <si>
    <t xml:space="preserve">                  PD na boxy na sypký materiál</t>
  </si>
  <si>
    <t>637 - Akce OB-bytový odbor na ORI</t>
  </si>
  <si>
    <t>Bytové hospodářství</t>
  </si>
  <si>
    <t>0518/3612/6121</t>
  </si>
  <si>
    <t xml:space="preserve">                    Revitalizace BD Trlicova 29 - PD</t>
  </si>
  <si>
    <t>0556/3612/6121</t>
  </si>
  <si>
    <t xml:space="preserve">                    Nádražní 47- revitalizace bytů program Ukrajina </t>
  </si>
  <si>
    <t>0551/3612/6121</t>
  </si>
  <si>
    <t xml:space="preserve">                    Revitalizace BD Jičínská 272</t>
  </si>
  <si>
    <t>0552/3612/6121</t>
  </si>
  <si>
    <t xml:space="preserve">                    Revitalizace BD Jičínská 275</t>
  </si>
  <si>
    <t>0558/3612/6121</t>
  </si>
  <si>
    <t xml:space="preserve">                    Revitalizace BD Hřbitovní 44 - PD</t>
  </si>
  <si>
    <t>Nebytové hospodářství</t>
  </si>
  <si>
    <t>0518/3613/5169</t>
  </si>
  <si>
    <t xml:space="preserve">                   Sokolovská 9 -PD opravy fasády, WC a sanace objektu</t>
  </si>
  <si>
    <t xml:space="preserve">                   Nádražní 47- rekonstrukce společných prostor program Ukrajina </t>
  </si>
  <si>
    <t>0553/3613/6121</t>
  </si>
  <si>
    <t xml:space="preserve">                   vybudování Spolkového domu OV Žilina</t>
  </si>
  <si>
    <t>0557/3613/6121</t>
  </si>
  <si>
    <t xml:space="preserve">                   odvodnění Hückelových vil - PD</t>
  </si>
  <si>
    <t>Lokální zásobování teplem</t>
  </si>
  <si>
    <t>0555/3634/6122</t>
  </si>
  <si>
    <t xml:space="preserve">                   připojení BD Dlouhá 45,47 na teplovod</t>
  </si>
  <si>
    <t>1516/3634/6122</t>
  </si>
  <si>
    <t xml:space="preserve">                   modernizace kotelny Mendelova 10</t>
  </si>
  <si>
    <t>2516/3634/6122</t>
  </si>
  <si>
    <t xml:space="preserve">                   modernizace kotelny Luční 2</t>
  </si>
  <si>
    <t>3516/3634/6122</t>
  </si>
  <si>
    <t xml:space="preserve">                   modernizace kotelny Luční 3</t>
  </si>
  <si>
    <t>4516/3634/6122</t>
  </si>
  <si>
    <t xml:space="preserve">                   modernizace kotelny Luční 4</t>
  </si>
  <si>
    <t xml:space="preserve">639 - Komunální služby a územní rozvoj </t>
  </si>
  <si>
    <r>
      <t xml:space="preserve">Sportovní zařízení ve vlastnictví obce </t>
    </r>
    <r>
      <rPr>
        <sz val="9"/>
        <rFont val="Arial CE"/>
      </rPr>
      <t>(účet 2310800)</t>
    </r>
  </si>
  <si>
    <t>5456/3412/6121</t>
  </si>
  <si>
    <t xml:space="preserve">                   Skatepark u stadionu, sportovní areál</t>
  </si>
  <si>
    <t>5474/3412/6121</t>
  </si>
  <si>
    <t xml:space="preserve">                   Provozní objekt (šatny) pro sportovní areál PD</t>
  </si>
  <si>
    <t>5475/3412/6121</t>
  </si>
  <si>
    <t xml:space="preserve">                   Multifunkční hřiště ve sportovním areálu PD</t>
  </si>
  <si>
    <t>5476/3412/6121</t>
  </si>
  <si>
    <t xml:space="preserve">                   Revitalizace Horního nádraží - pumptrack PD</t>
  </si>
  <si>
    <t>5457/3412/6121</t>
  </si>
  <si>
    <t xml:space="preserve">                   Tenisová hala B. Martinů (studie)</t>
  </si>
  <si>
    <r>
      <t xml:space="preserve">Nebytové hospodářství </t>
    </r>
    <r>
      <rPr>
        <sz val="9"/>
        <rFont val="Arial CE"/>
      </rPr>
      <t>(účet 2310800)</t>
    </r>
  </si>
  <si>
    <t>5369/3613/6121</t>
  </si>
  <si>
    <t xml:space="preserve">                   Úprava Smetanových sadů PD</t>
  </si>
  <si>
    <t xml:space="preserve">                   Odpočívka pro cyklisty u drážního domku - posedové schodiště </t>
  </si>
  <si>
    <r>
      <t xml:space="preserve">Veřejné osvětlení (VO) </t>
    </r>
    <r>
      <rPr>
        <sz val="9"/>
        <rFont val="Arial CE"/>
      </rPr>
      <t>(účet 2310800)</t>
    </r>
  </si>
  <si>
    <t>5435/3631/6121</t>
  </si>
  <si>
    <t xml:space="preserve">                   VO - EFEKT 2021</t>
  </si>
  <si>
    <t>5479/3631/6121</t>
  </si>
  <si>
    <t xml:space="preserve">                   VO Slezská u garáží PD</t>
  </si>
  <si>
    <t>5364/3631/6121</t>
  </si>
  <si>
    <t xml:space="preserve">                   VO Smetanovy sady a Skalky</t>
  </si>
  <si>
    <t>5366/3631/6121</t>
  </si>
  <si>
    <t xml:space="preserve">                   VO Štefanikova ČS</t>
  </si>
  <si>
    <t>6383/3631/6121</t>
  </si>
  <si>
    <t xml:space="preserve">                   VO K Archivu</t>
  </si>
  <si>
    <t>Pohřebnictví</t>
  </si>
  <si>
    <t>3632/3632/6121</t>
  </si>
  <si>
    <t xml:space="preserve">                   PD kolumbárium, obnova stávajícího kolumbária, vsypové loučky a rozptylové loučky</t>
  </si>
  <si>
    <r>
      <t>Výstavba a údržba místních inženýrských sítí (IS)</t>
    </r>
    <r>
      <rPr>
        <sz val="9"/>
        <rFont val="Arial CE"/>
      </rPr>
      <t xml:space="preserve"> (účet 2310800)</t>
    </r>
  </si>
  <si>
    <t>0538/3633/6121</t>
  </si>
  <si>
    <t xml:space="preserve">                   Rozšíření průmyslové zóny PD</t>
  </si>
  <si>
    <t>0539/3633/6121</t>
  </si>
  <si>
    <t xml:space="preserve">                   IS Za Školou 3.etapa</t>
  </si>
  <si>
    <t>641 - Oddělení rozvoje - dotace ČOV, topení Kojetín, kotlíkové dotace</t>
  </si>
  <si>
    <t>1388/3713/6342</t>
  </si>
  <si>
    <t xml:space="preserve">                    Změny technologií vytápění - Kotlíkové dotace MSK</t>
  </si>
  <si>
    <r>
      <rPr>
        <b/>
        <sz val="10"/>
        <rFont val="Arial CE"/>
      </rPr>
      <t xml:space="preserve">Vnitřní obchod </t>
    </r>
    <r>
      <rPr>
        <sz val="9"/>
        <rFont val="Arial CE"/>
      </rPr>
      <t>(ostatní služby15)</t>
    </r>
  </si>
  <si>
    <t>ORJ 011 - Návštěvnické centrum Nový Jičín - město klobouků</t>
  </si>
  <si>
    <r>
      <rPr>
        <b/>
        <sz val="10"/>
        <rFont val="Arial CE"/>
      </rPr>
      <t xml:space="preserve">Vnitřní obchod  </t>
    </r>
    <r>
      <rPr>
        <b/>
        <sz val="9"/>
        <rFont val="Arial CE"/>
      </rPr>
      <t xml:space="preserve">- </t>
    </r>
    <r>
      <rPr>
        <sz val="9"/>
        <rFont val="Arial CE"/>
      </rPr>
      <t>opravy a údržba 25, materiál 38, služby 30, příspěvek TSM celkem (jarmarky, vánoční strom, výzdoba,…) 520, pohoštění 5, DHM 135.</t>
    </r>
  </si>
  <si>
    <r>
      <rPr>
        <b/>
        <sz val="10"/>
        <rFont val="Arial CE"/>
      </rPr>
      <t>Cestovní ruch</t>
    </r>
    <r>
      <rPr>
        <b/>
        <sz val="9"/>
        <rFont val="Arial CE"/>
      </rPr>
      <t xml:space="preserve"> </t>
    </r>
    <r>
      <rPr>
        <sz val="9"/>
        <rFont val="Arial CE"/>
      </rPr>
      <t xml:space="preserve">(platy 3650+150, dohody 400, soc.poj. 1004,4+27,28, zdrav. poj. 364,5+9,9, náhrada mezd za nemoc 30, platby daní a popl. Stát. rozp. 6,5, knihy, tisk 6, drobný hmotný maj. 1 mil., materiál (kalendáře, upom. Př., tiskoviny,…) 690, materiál DPH 324,5, poštovné 4, telefony 10, pronájem 277, služby zprac. dat. 105, nákup služeb (prop. inz., služby) 1270, nákup služeb DPH (služby spojené s kelímky NICKNACK) 170 976, opravy a údržba 80, cestovné 10, pohoštění 80, ost.nák.j.n. 7, neinvest. transféry 140, neinvest. přísp. Pivobraní 200. </t>
    </r>
  </si>
  <si>
    <r>
      <t>Ost.záležitosti kultury, církví a sdělovacích prostředků</t>
    </r>
    <r>
      <rPr>
        <sz val="10"/>
        <rFont val="Arial CE"/>
      </rPr>
      <t xml:space="preserve"> (</t>
    </r>
    <r>
      <rPr>
        <sz val="9"/>
        <rFont val="Arial CE"/>
      </rPr>
      <t>platby za autor.práva-OSA, Integram) ozvučení náměstí</t>
    </r>
  </si>
  <si>
    <r>
      <rPr>
        <b/>
        <sz val="10"/>
        <rFont val="Arial CE"/>
      </rPr>
      <t>Mezinárodní spolupráce</t>
    </r>
    <r>
      <rPr>
        <sz val="9"/>
        <rFont val="Arial CE"/>
      </rPr>
      <t xml:space="preserve"> - materiál 90, materiál DPH 10, PHM 5, nájemné 30, služby 280, cestovné 70, pohoštění 110, dohody 5, poštovné 5, ostatní nákupy 5, věcné dary 5.</t>
    </r>
  </si>
  <si>
    <t>Bezpečnost silničního provozu (BESIP)</t>
  </si>
  <si>
    <t xml:space="preserve">             DHM 6, materiál 3, nájemné 42, služby 10, opravy a udržování 7, pohoštění 2, věcné dary 6 </t>
  </si>
  <si>
    <r>
      <rPr>
        <b/>
        <sz val="10"/>
        <rFont val="Arial CE"/>
      </rPr>
      <t>Dopravní obslužnost</t>
    </r>
    <r>
      <rPr>
        <sz val="10"/>
        <rFont val="Arial CE"/>
      </rPr>
      <t xml:space="preserve"> - veřejná doprava</t>
    </r>
  </si>
  <si>
    <t>z toho: územní dopravní obslužnost dle smlouvy s MSK + cyklobus Beskydy</t>
  </si>
  <si>
    <r>
      <rPr>
        <sz val="10"/>
        <rFont val="Arial CE"/>
      </rPr>
      <t xml:space="preserve">             příspěvek na MHD</t>
    </r>
    <r>
      <rPr>
        <sz val="9"/>
        <rFont val="Arial CE"/>
      </rPr>
      <t xml:space="preserve"> (ARRIVA) - dle smlouvy </t>
    </r>
  </si>
  <si>
    <r>
      <t xml:space="preserve">             dorovnání kompenzace nákladů MHD</t>
    </r>
    <r>
      <rPr>
        <sz val="9"/>
        <rFont val="Arial CE"/>
      </rPr>
      <t xml:space="preserve"> (ARRIVA) 2021 -nenaplnění tržeb z jízdného</t>
    </r>
  </si>
  <si>
    <r>
      <rPr>
        <sz val="10"/>
        <rFont val="Arial CE"/>
      </rPr>
      <t xml:space="preserve">             kompenzace ztráty dopravci za rozšíření tarifu "město", dokr</t>
    </r>
    <r>
      <rPr>
        <sz val="10"/>
        <rFont val="Arial CE"/>
      </rPr>
      <t>ytí ztráty za provozování cyklobusu</t>
    </r>
  </si>
  <si>
    <t xml:space="preserve">             dokrytí ztráty za provozovaní autobusového spojení Hranice na Moravě </t>
  </si>
  <si>
    <t xml:space="preserve">             jízdní řády</t>
  </si>
  <si>
    <t xml:space="preserve">             KODIS – revize MHD</t>
  </si>
  <si>
    <r>
      <rPr>
        <b/>
        <sz val="10"/>
        <rFont val="Arial CE"/>
      </rPr>
      <t xml:space="preserve">Bezpečnost silničního provozu - </t>
    </r>
    <r>
      <rPr>
        <sz val="10"/>
        <rFont val="Arial CE"/>
      </rPr>
      <t>znalecké posudky při řešení dopravních deliktů+tlumočení</t>
    </r>
  </si>
  <si>
    <r>
      <rPr>
        <b/>
        <sz val="10"/>
        <rFont val="Arial CE"/>
      </rPr>
      <t xml:space="preserve">Činnost místní správy - </t>
    </r>
    <r>
      <rPr>
        <sz val="10"/>
        <rFont val="Arial CE"/>
      </rPr>
      <t>ostatní platy (refundace vč.pojist.), konzult.a porad.služby, náhrady svědkům</t>
    </r>
  </si>
  <si>
    <r>
      <t xml:space="preserve">Volby do zastupitelstev územních samosprávných celků </t>
    </r>
    <r>
      <rPr>
        <sz val="10"/>
        <rFont val="Arial CE"/>
      </rPr>
      <t>(obcí) + Senátu PČR</t>
    </r>
  </si>
  <si>
    <r>
      <t xml:space="preserve">Volba prezidenta repubiky </t>
    </r>
    <r>
      <rPr>
        <sz val="9"/>
        <rFont val="Arial CE"/>
      </rPr>
      <t>(předpokládaná dotace na výdaje závěrem roku 2022)</t>
    </r>
  </si>
  <si>
    <t>414 - Školství</t>
  </si>
  <si>
    <t xml:space="preserve">příspěvky a dotace vlastní: na provoz MŠ </t>
  </si>
  <si>
    <t xml:space="preserve">                                                na údržbu MŠ </t>
  </si>
  <si>
    <t xml:space="preserve">                                                na investice</t>
  </si>
  <si>
    <r>
      <rPr>
        <sz val="10"/>
        <rFont val="Arial CE"/>
      </rPr>
      <t xml:space="preserve">             v tom:  </t>
    </r>
    <r>
      <rPr>
        <b/>
        <i/>
        <sz val="10"/>
        <rFont val="Arial CE"/>
      </rPr>
      <t>MŠ Sady</t>
    </r>
    <r>
      <rPr>
        <sz val="10"/>
        <rFont val="Arial CE"/>
      </rPr>
      <t xml:space="preserve"> (org. 305)</t>
    </r>
  </si>
  <si>
    <t xml:space="preserve">                               - příspěvek na provoz, včetně energií 850, včetně odpisů z nemovitého majetku </t>
  </si>
  <si>
    <t xml:space="preserve">                              </t>
  </si>
  <si>
    <r>
      <t xml:space="preserve">                               - příspěvek na údržbu </t>
    </r>
    <r>
      <rPr>
        <sz val="9"/>
        <rFont val="Arial CE"/>
      </rPr>
      <t>(malování a nátěry 100, výměna podlahových krytin 68, oprava oplocení MŠ Jiráskova 136 )</t>
    </r>
  </si>
  <si>
    <r>
      <t xml:space="preserve">                               - příspěvek na investice</t>
    </r>
    <r>
      <rPr>
        <sz val="9"/>
        <rFont val="Arial CE"/>
      </rPr>
      <t xml:space="preserve"> (rekonstrukce kuchyně MŠ Jiráskova 3037, rekonstrukce vzduchctechniky MŠ Jiráskova 1102, zabezpečovací systém MŠ Revoluční 380, PD na arevitalizaci zahrady MŠ Jiráskova 150, PD včetně provedení nadstřešního prostoru u kuchyně MŠ Revoluční 245) po zapojení FI a FR 200 tis. Kč</t>
    </r>
  </si>
  <si>
    <r>
      <rPr>
        <b/>
        <i/>
        <sz val="10"/>
        <rFont val="Arial CE"/>
      </rPr>
      <t xml:space="preserve">                          MŠ Máj</t>
    </r>
    <r>
      <rPr>
        <sz val="10"/>
        <rFont val="Arial CE"/>
      </rPr>
      <t xml:space="preserve"> (org. 307)</t>
    </r>
  </si>
  <si>
    <t xml:space="preserve">                               - příspěvek na provoz, včetně energií 1150, včetně odpisů z nemovitého majetku </t>
  </si>
  <si>
    <r>
      <t xml:space="preserve">                               - příspěvek na údržbu </t>
    </r>
    <r>
      <rPr>
        <sz val="9"/>
        <rFont val="Arial CE"/>
      </rPr>
      <t xml:space="preserve">(malování a nátěry 100, oprava části plotu MŠ Loučka 120, výměna podlahových krytin 80, sanace sušárny a prádelny MŠ Vančurova 1300, oprav herních prvků a skladu hraček a zahradní potřeby 200, oprava bytu na MŠ Vančurova 135) po zapojení FR a FI 350 tis. Kč </t>
    </r>
  </si>
  <si>
    <r>
      <rPr>
        <sz val="10"/>
        <rFont val="Arial CE"/>
      </rPr>
      <t xml:space="preserve">                          </t>
    </r>
    <r>
      <rPr>
        <b/>
        <i/>
        <sz val="10"/>
        <rFont val="Arial CE"/>
      </rPr>
      <t>MŠ Trojlístek</t>
    </r>
    <r>
      <rPr>
        <sz val="10"/>
        <rFont val="Arial CE"/>
      </rPr>
      <t xml:space="preserve"> (org. 309)</t>
    </r>
  </si>
  <si>
    <r>
      <t xml:space="preserve">                               - příspěvek na údržbu </t>
    </r>
    <r>
      <rPr>
        <sz val="9"/>
        <rFont val="Arial CE"/>
      </rPr>
      <t>(oprava plotu-poslední etapa MŠ Komenského 405, oprava kuchyněk a parapetů MŠ Máchova 260, oprava prostor pro výdej stravy 200 , výměna podlahových krytin a koberců 190, malování a nátěry 120, oprava výtahu MŠ Kom 443 )</t>
    </r>
  </si>
  <si>
    <r>
      <t xml:space="preserve">                               - příspěvek na investice </t>
    </r>
    <r>
      <rPr>
        <sz val="9"/>
        <rFont val="Arial CE"/>
      </rPr>
      <t xml:space="preserve">(PD elektro MŠ Komenského 257, PD na zateplení budovy MŠ Máchova 233, PD  na zahradu MŠ Komenského 194, kamerový a zabezpečovací systém na MŠ Komenského 222, myčka 2 ks 100) </t>
    </r>
    <r>
      <rPr>
        <sz val="10"/>
        <rFont val="Arial CE"/>
      </rPr>
      <t>zapojení FI 100</t>
    </r>
  </si>
  <si>
    <t>Základní školy</t>
  </si>
  <si>
    <t xml:space="preserve">rezerva+vyhodnocení žáků </t>
  </si>
  <si>
    <t xml:space="preserve">příspěvky vlastní: na provoz ZŠ </t>
  </si>
  <si>
    <t xml:space="preserve">                             na údržbu ZŠ </t>
  </si>
  <si>
    <t xml:space="preserve">                             na investice</t>
  </si>
  <si>
    <r>
      <rPr>
        <sz val="10"/>
        <rFont val="Arial CE"/>
      </rPr>
      <t xml:space="preserve">              v tom:  </t>
    </r>
    <r>
      <rPr>
        <b/>
        <i/>
        <sz val="10"/>
        <rFont val="Arial CE"/>
      </rPr>
      <t xml:space="preserve">ZŠ Jubilejní </t>
    </r>
    <r>
      <rPr>
        <sz val="10"/>
        <rFont val="Arial CE"/>
      </rPr>
      <t xml:space="preserve">celkem (org. 321) </t>
    </r>
  </si>
  <si>
    <t xml:space="preserve">                              - příspěvek na provoz, včetně energií 3700, včetně odpisů z nemovitého majetku </t>
  </si>
  <si>
    <r>
      <t xml:space="preserve">                              - přísp.na údržbu</t>
    </r>
    <r>
      <rPr>
        <sz val="9"/>
        <rFont val="Arial CE"/>
      </rPr>
      <t xml:space="preserve"> (Jubilejní: malování a nátěry 250, ZŠ Dlouhá malování a nátěry 250, úprava podlahy v tělocvičně- započ. Nájem 200, oprava podlahových krytin na schodišti 92)</t>
    </r>
  </si>
  <si>
    <r>
      <t xml:space="preserve">                              - příspěvek na investice </t>
    </r>
    <r>
      <rPr>
        <sz val="9"/>
        <rFont val="Arial CE"/>
      </rPr>
      <t xml:space="preserve">(Jubilejní: vybudování samostané brány při vstupu do areálu ZŠ Jubilejní 145, zavážecí vozík ke konvektomatu 55, pořízení zahradního traktoru 124, ZŠ Dlouhá: rekonstrukce školního hřiště 21 910+z r. 2021: 4.455.516,29 Kč) při </t>
    </r>
    <r>
      <rPr>
        <sz val="10"/>
        <rFont val="Arial CE"/>
      </rPr>
      <t xml:space="preserve">zapojení FI a FR 400 tis. Kč </t>
    </r>
  </si>
  <si>
    <r>
      <rPr>
        <sz val="10"/>
        <rFont val="Arial CE"/>
      </rPr>
      <t xml:space="preserve">              v tom:  </t>
    </r>
    <r>
      <rPr>
        <b/>
        <i/>
        <sz val="10"/>
        <rFont val="Arial CE"/>
      </rPr>
      <t xml:space="preserve">ZŠ Komenského 66 </t>
    </r>
    <r>
      <rPr>
        <sz val="10"/>
        <rFont val="Arial CE"/>
      </rPr>
      <t>(org. 322)</t>
    </r>
  </si>
  <si>
    <t xml:space="preserve">                              - příspěvek na provoz, včetně energií 1670, včetně odpisů z nemovitého majetku </t>
  </si>
  <si>
    <r>
      <t xml:space="preserve">                              - příspěvek na údržbu </t>
    </r>
    <r>
      <rPr>
        <sz val="9"/>
        <rFont val="Arial CE"/>
      </rPr>
      <t>(malování a nátěry 200, výměna ležatých rozvodů hlavní řád I. Etapa 850, výměna podhledů v přízemí 1. etapa 114) po zapojení FR a FI 150</t>
    </r>
  </si>
  <si>
    <t xml:space="preserve">                              - příspěvek na investice </t>
  </si>
  <si>
    <r>
      <rPr>
        <sz val="10"/>
        <rFont val="Arial CE"/>
      </rPr>
      <t xml:space="preserve">                          </t>
    </r>
    <r>
      <rPr>
        <b/>
        <i/>
        <sz val="10"/>
        <rFont val="Arial CE"/>
      </rPr>
      <t>ZŠ Komenského 68</t>
    </r>
    <r>
      <rPr>
        <sz val="10"/>
        <rFont val="Arial CE"/>
      </rPr>
      <t xml:space="preserve"> (org. 323)</t>
    </r>
  </si>
  <si>
    <t xml:space="preserve">                              - příspěvek na provoz, včetně energií 1400, včetně odpisů z nemovitého majetku </t>
  </si>
  <si>
    <r>
      <t xml:space="preserve">                              - příspěvek na údržbu </t>
    </r>
    <r>
      <rPr>
        <sz val="9"/>
        <rFont val="Arial CE"/>
      </rPr>
      <t>(malování a nátěry 350, oprava podlah a nátěr schodů 540)</t>
    </r>
  </si>
  <si>
    <r>
      <t xml:space="preserve">                             - příspěvek na investice</t>
    </r>
    <r>
      <rPr>
        <sz val="9"/>
        <rFont val="Arial CE"/>
      </rPr>
      <t xml:space="preserve"> (vybavení do školní kuchyně 245) po zapojení FI a FR 245 tis. Kč </t>
    </r>
  </si>
  <si>
    <r>
      <rPr>
        <sz val="10"/>
        <rFont val="Arial CE"/>
      </rPr>
      <t xml:space="preserve">                         </t>
    </r>
    <r>
      <rPr>
        <b/>
        <i/>
        <sz val="10"/>
        <rFont val="Arial CE"/>
      </rPr>
      <t xml:space="preserve">ZŠ Tyršova </t>
    </r>
    <r>
      <rPr>
        <sz val="10"/>
        <rFont val="Arial CE"/>
      </rPr>
      <t>(org. 325)</t>
    </r>
  </si>
  <si>
    <t xml:space="preserve">                             - příspěvek na provoz (vč. Montessori 250), vč.energií 2000, vč.odpisů z nem.majetku</t>
  </si>
  <si>
    <r>
      <t xml:space="preserve">                             - příspěvek na údržbu</t>
    </r>
    <r>
      <rPr>
        <sz val="9"/>
        <rFont val="Arial CE"/>
      </rPr>
      <t xml:space="preserve"> (malování a nátěry 200, oprava rampy 220, výměna oken ze dvora školy po etapách 1000, oprava komínů 115)</t>
    </r>
  </si>
  <si>
    <t xml:space="preserve">                             - příspěvek na investice (revitalizace zahrady ŠD Jiráskova+ PD 400, lednice 85, výdejní terminál ŠJ 105) po zapojení FR a FI 590 tis.Kč  </t>
  </si>
  <si>
    <t>Střediska volného času</t>
  </si>
  <si>
    <r>
      <rPr>
        <sz val="10"/>
        <rFont val="Arial CE"/>
      </rPr>
      <t xml:space="preserve">z toho: </t>
    </r>
    <r>
      <rPr>
        <b/>
        <i/>
        <sz val="10"/>
        <rFont val="Arial CE"/>
      </rPr>
      <t>SVČ Fokus</t>
    </r>
  </si>
  <si>
    <t xml:space="preserve">                  - příspěvek na provoz, včetně energií 660, včetně odpisů z nemovitého majetku </t>
  </si>
  <si>
    <r>
      <t xml:space="preserve">                  - příspěvek na údržbu </t>
    </r>
    <r>
      <rPr>
        <sz val="9"/>
        <rFont val="Arial CE"/>
      </rPr>
      <t>(oprava služebního bytu 500, PD na ohřev vody 48, výmalba interiéru celé budovy 218)</t>
    </r>
  </si>
  <si>
    <r>
      <t xml:space="preserve">                  - příspěvek na investice </t>
    </r>
    <r>
      <rPr>
        <sz val="9"/>
        <rFont val="Arial CE"/>
      </rPr>
      <t>(</t>
    </r>
    <r>
      <rPr>
        <sz val="9"/>
        <rFont val="Arial CE"/>
      </rPr>
      <t xml:space="preserve">zrcadlová stěna ve velkém sále 107, zhotovení podhledů v 1. NP 381, dokončení z r. 2021: 4.572.567,33 Kč) po zapojení FI a FR 200 tis. Kč  </t>
    </r>
  </si>
  <si>
    <r>
      <t>Ostatní sportovní činnost</t>
    </r>
    <r>
      <rPr>
        <sz val="10"/>
        <rFont val="Arial CE"/>
      </rPr>
      <t xml:space="preserve"> </t>
    </r>
  </si>
  <si>
    <t>416 - Kultura</t>
  </si>
  <si>
    <r>
      <rPr>
        <b/>
        <sz val="10"/>
        <rFont val="Arial CE"/>
      </rPr>
      <t xml:space="preserve">Divadelní činnost - </t>
    </r>
    <r>
      <rPr>
        <b/>
        <i/>
        <sz val="10"/>
        <rFont val="Arial CE"/>
      </rPr>
      <t>Beskydské divadlo</t>
    </r>
    <r>
      <rPr>
        <b/>
        <sz val="9"/>
        <rFont val="Arial CE"/>
      </rPr>
      <t xml:space="preserve"> </t>
    </r>
    <r>
      <rPr>
        <sz val="9"/>
        <rFont val="Arial CE"/>
      </rPr>
      <t>(org. 504)</t>
    </r>
  </si>
  <si>
    <t>z toho: příspěvek na provoz, včetně energií 2100, včetně odpisů z nemovitého majetku 522</t>
  </si>
  <si>
    <r>
      <t xml:space="preserve">             příspěvek na údržbu </t>
    </r>
    <r>
      <rPr>
        <sz val="9"/>
        <rFont val="Arial CE"/>
      </rPr>
      <t>(oprava vzduchtechniky 5319, dokončení z r. 2021: zesílení stropních desek 9.406.511,28 Kč</t>
    </r>
    <r>
      <rPr>
        <strike/>
        <sz val="9"/>
        <rFont val="Arial CE"/>
      </rPr>
      <t>)</t>
    </r>
    <r>
      <rPr>
        <sz val="9"/>
        <rFont val="Arial CE"/>
      </rPr>
      <t xml:space="preserve"> při zapojení FI a FR 400 </t>
    </r>
  </si>
  <si>
    <t>Ostatní záležitosti kultury</t>
  </si>
  <si>
    <r>
      <rPr>
        <sz val="10"/>
        <rFont val="Arial CE"/>
      </rPr>
      <t xml:space="preserve">z toho: osadní výbory </t>
    </r>
    <r>
      <rPr>
        <sz val="9"/>
        <rFont val="Arial CE"/>
      </rPr>
      <t>(Žilina, Straník, Bludovice, Kojetín, Loučka)</t>
    </r>
  </si>
  <si>
    <t xml:space="preserve">             kronika, služby, materiál, pohoštění, dar, ocenění osobností, ples, poplatky OSA a INTEGRAM atd.)</t>
  </si>
  <si>
    <t>3322</t>
  </si>
  <si>
    <t>Zachování a obnova kulturních památek</t>
  </si>
  <si>
    <t>Up-grade informačního systému památek (okolonas.eu)</t>
  </si>
  <si>
    <t xml:space="preserve">             Propagace v rámci EHD (vlajky a jiné), postřiky hradebních zdí, vč. likvidace náletů </t>
  </si>
  <si>
    <t xml:space="preserve">             Drobné opravy poškození, očištění soch a restaurování křížů (údržba sochy sv. Antonína Paduánského 65, údržba Sloupu Panny Marie 153, vymalování kaple v Janáčkových sadech 50, oprava hradební zdi u Hotelu Praha 170)</t>
  </si>
  <si>
    <t>3326</t>
  </si>
  <si>
    <t>Pořízení, zachování a obnova hodnot místního historického povědomí</t>
  </si>
  <si>
    <t>z toho:  oprava křížů a kaplí 100, obnova fasády kaple sv. Michala v Bludovicích 1 000</t>
  </si>
  <si>
    <t xml:space="preserve">            elektrická energie (zvonění kaple Kojetín, Bludovice, Straník) </t>
  </si>
  <si>
    <t>Zájmová činnost v kultuře</t>
  </si>
  <si>
    <t>z toho: Osvětová beseda Straník</t>
  </si>
  <si>
    <r>
      <rPr>
        <sz val="10"/>
        <rFont val="Arial CE"/>
      </rPr>
      <t xml:space="preserve">z toho: </t>
    </r>
    <r>
      <rPr>
        <b/>
        <i/>
        <sz val="10"/>
        <rFont val="Arial CE"/>
      </rPr>
      <t>Městské kulturní středisko</t>
    </r>
    <r>
      <rPr>
        <b/>
        <sz val="10"/>
        <rFont val="Arial CE"/>
      </rPr>
      <t xml:space="preserve"> </t>
    </r>
    <r>
      <rPr>
        <sz val="9"/>
        <rFont val="Arial CE"/>
      </rPr>
      <t>(org. 501)</t>
    </r>
  </si>
  <si>
    <t xml:space="preserve">           -  příspěvek na provoz MěKS a Kina Květen, vč.energií 1150, vč.odpisů z nem.majetku 175 </t>
  </si>
  <si>
    <t xml:space="preserve">                                     včetně Novojičínského kulturního léta a Slavností města </t>
  </si>
  <si>
    <r>
      <t xml:space="preserve">           -  příspěvek na údržbu </t>
    </r>
    <r>
      <rPr>
        <sz val="9"/>
        <rFont val="Arial CE"/>
      </rPr>
      <t xml:space="preserve">(II. etapa sanace knihovny 2295, oprava podlahy pódia amfiteátru Skalky 573, oprava nezastřešené části pódia Skalky 436, výměna asfaltu před jevištěm v amfiteátru Skalky 252, oprava střešní krytiny na pergole ve dvoře Staré pošty 101, oprava projektoru Kina Květen 431)  </t>
    </r>
  </si>
  <si>
    <r>
      <t xml:space="preserve">          -  příspěvek na investice </t>
    </r>
    <r>
      <rPr>
        <sz val="9"/>
        <rFont val="Arial CE"/>
      </rPr>
      <t>(PD na rekonstrukci správního domku 181 , výměna stávajícíh dřevěných oken za hliníkvé lamely 91, PD na celkovou rekonstukci Kina Květen, vč. vzduchtechniky, topení, audio 2381, automatizovaný knihovní systém 470) zapojení FR a FI 900 tis. Kč)</t>
    </r>
  </si>
  <si>
    <t>Ostatní záležitosti kultury, církví a sdělovacích prostředků</t>
  </si>
  <si>
    <t>z toho: výdaje na občanské záležitosti (včetně vítání občánků a jubileí)</t>
  </si>
  <si>
    <t>441 - Dotace, návratné finanční výpomoci a dary cizím subjektům</t>
  </si>
  <si>
    <t>Dotace, návratné finanční výpomoci a dary cizím subjektům</t>
  </si>
  <si>
    <t>z toho: podpora celoroční činnosti v kulturní oblasti (org. 1121)</t>
  </si>
  <si>
    <t xml:space="preserve">            podpora jednorázových kulturních akcí (org. 1122)</t>
  </si>
  <si>
    <t xml:space="preserve">            podpora sportovní činnosti dospělých nad 20 let (org. 1131)</t>
  </si>
  <si>
    <t xml:space="preserve">            podpora sportovní činnosti dětí a mládeže do 20 let (org. 1132)</t>
  </si>
  <si>
    <t xml:space="preserve">            podpora jednorázových sportovních akcí (org. 1133)</t>
  </si>
  <si>
    <t xml:space="preserve">            podpora provozu, údržby a oprava sportovišť a sportovních zařízení (org. 1134)</t>
  </si>
  <si>
    <t xml:space="preserve">            podpora celoroční činnosti v oblasti využití volného času (org. 1141)</t>
  </si>
  <si>
    <t xml:space="preserve">            podpora jednorázových akcí v oblasti využití volného času (org. 1142)</t>
  </si>
  <si>
    <t xml:space="preserve">            podpora na zachování a obnovu kulturních památek (org. 1150)</t>
  </si>
  <si>
    <r>
      <t xml:space="preserve">            mimořádné dotace a dary (org. 1180): </t>
    </r>
    <r>
      <rPr>
        <sz val="9"/>
        <rFont val="Arial CE"/>
      </rPr>
      <t xml:space="preserve">MŠ Beruška 175, ZŠ Galaxie 323,13 a MŠ Bludovice 52,14  - všechny 3 subjekty na úhradu režijních nákladů na stravování dětí včetně dovozu, ZO ČSOP Bartošovice  záchrana handicapovaných zvířat 90, Česká křesťanská akademie 15, stipendia 200, TJ umělá tráva 3649, přesun zdi Máchova 500 </t>
    </r>
  </si>
  <si>
    <t xml:space="preserve">Bezpečnost a veřejný pořádek </t>
  </si>
  <si>
    <r>
      <t>z toho</t>
    </r>
    <r>
      <rPr>
        <b/>
        <sz val="10"/>
        <rFont val="Arial CE"/>
      </rPr>
      <t xml:space="preserve"> provoz:</t>
    </r>
    <r>
      <rPr>
        <sz val="10"/>
        <rFont val="Arial CE"/>
      </rPr>
      <t xml:space="preserve">  platy 17250, zák.odvody 4278+1552,5, ochr. pomůcky 2, zdrav.pomůcky 1, výstroj 295, knihy, časopisy a tisk 2, DHM 106, materiál 161, elektř.15, PHM 240, služby pošt 2, telekomunikace 245, nájemné 30, konzult.a porad.služby 3, školení 27, konference 2, služby 696, opravy a udrž. 291, služby zpracování dat 250, cestovné 7, neinv.přísp.a náhrady-prac.úrazy 50, kolky 10, náhrady za nemoc 100, správní poplatky 6, </t>
    </r>
    <r>
      <rPr>
        <b/>
        <sz val="10"/>
        <rFont val="Arial CE"/>
      </rPr>
      <t>investice:</t>
    </r>
    <r>
      <rPr>
        <sz val="10"/>
        <rFont val="Arial CE"/>
      </rPr>
      <t xml:space="preserve">  radar 900, 2 elektrokola 120</t>
    </r>
  </si>
  <si>
    <r>
      <rPr>
        <sz val="10"/>
        <rFont val="Arial CE"/>
      </rPr>
      <t>Chata Jičínka-</t>
    </r>
    <r>
      <rPr>
        <b/>
        <sz val="10"/>
        <rFont val="Arial CE"/>
      </rPr>
      <t>org.4381</t>
    </r>
    <r>
      <rPr>
        <sz val="10"/>
        <rFont val="Arial CE"/>
      </rPr>
      <t xml:space="preserve"> </t>
    </r>
    <r>
      <rPr>
        <sz val="9"/>
        <rFont val="Arial CE"/>
      </rPr>
      <t xml:space="preserve">(v tom: drobný hmotný majetek 50, materiál 10, voda 17, elektr.energie 150, PHM 1, služby-praní, odpady,... 120, opravy a udržování 100, místní poplatky 17, </t>
    </r>
    <r>
      <rPr>
        <b/>
        <sz val="9"/>
        <rFont val="Arial CE"/>
      </rPr>
      <t>investice:</t>
    </r>
    <r>
      <rPr>
        <sz val="9"/>
        <rFont val="Arial CE"/>
      </rPr>
      <t xml:space="preserve"> další etapa - chodník, parkovací plocha, terénní úpravy 100)</t>
    </r>
  </si>
  <si>
    <r>
      <t xml:space="preserve">Ochrana obyvatelstva </t>
    </r>
    <r>
      <rPr>
        <sz val="9"/>
        <rFont val="Arial CE"/>
      </rPr>
      <t>(letáky+uživat.příručky 1, DHM 80, zpracování dat-data hosting, GSM přenosy 25, systém varování před povodněmi-hladinoměry dle servisní smlouvy 25, opravy a udržování systému varování před povodněmi 30)</t>
    </r>
  </si>
  <si>
    <r>
      <t xml:space="preserve">Krizová opatření </t>
    </r>
    <r>
      <rPr>
        <sz val="9"/>
        <rFont val="Arial CE"/>
      </rPr>
      <t>(čerpá se jen při živelních pohromách: přikrývky, písek+pytle, respirátory, dezinfekce, zabezpečení chodu evak.středisek, teplo, elektrická energie, PHM, služby: ubytovací,stravovací,dopravní)</t>
    </r>
  </si>
  <si>
    <r>
      <rPr>
        <b/>
        <sz val="10"/>
        <rFont val="Arial CE"/>
      </rPr>
      <t xml:space="preserve">Ostatní správa v oblasti krizového řízení </t>
    </r>
    <r>
      <rPr>
        <sz val="9"/>
        <rFont val="Arial CE"/>
      </rPr>
      <t>(PHM do elektrocentrály 1, služby 2, materiál 1, knihy+učební pomůcky+tisk 1) - čerpá se jen v mimořádných událostech</t>
    </r>
  </si>
  <si>
    <r>
      <rPr>
        <b/>
        <sz val="10"/>
        <rFont val="Arial CE"/>
      </rPr>
      <t xml:space="preserve">Požární ochrana - profesionální část </t>
    </r>
    <r>
      <rPr>
        <sz val="9"/>
        <rFont val="Arial CE"/>
      </rPr>
      <t>(příspěvek HZS MSK dle smlouvy zvýšené o inflaci - předpoklad 3 %)</t>
    </r>
  </si>
  <si>
    <r>
      <rPr>
        <b/>
        <sz val="10"/>
        <rFont val="Arial CE"/>
      </rPr>
      <t xml:space="preserve">Požární ochrana - dobrovolná část </t>
    </r>
    <r>
      <rPr>
        <sz val="9"/>
        <rFont val="Arial CE"/>
      </rPr>
      <t>(pro hasiče Straník: OOPP 6, DHM - hadice a proudnice, svítilny na přilby 50, materiál 10, PHM 15, služby+internet 5, školení 3, nákup služeb-technické prohlídky vozidel, měření emisí, výměna pneu,... 10, opravy a udržování-příprava na STK, drobné opravy vozového parku 40, cestovné 2)</t>
    </r>
  </si>
  <si>
    <r>
      <t xml:space="preserve">Zastupitelstva obcí </t>
    </r>
    <r>
      <rPr>
        <sz val="10"/>
        <rFont val="Arial CE"/>
      </rPr>
      <t>- NB pro nové zastupitele (org. 3381)</t>
    </r>
  </si>
  <si>
    <t xml:space="preserve">Činnost místní správy </t>
  </si>
  <si>
    <r>
      <t xml:space="preserve">z toho </t>
    </r>
    <r>
      <rPr>
        <b/>
        <sz val="9"/>
        <rFont val="Arial CE"/>
      </rPr>
      <t>provoz</t>
    </r>
    <r>
      <rPr>
        <sz val="9"/>
        <rFont val="Arial CE"/>
      </rPr>
      <t>: činnost místní správy-</t>
    </r>
    <r>
      <rPr>
        <b/>
        <sz val="9"/>
        <rFont val="Arial CE"/>
      </rPr>
      <t>org.381</t>
    </r>
    <r>
      <rPr>
        <sz val="9"/>
        <rFont val="Arial CE"/>
      </rPr>
      <t xml:space="preserve"> v tom: odměny za užití duševního vlastnictví-OSA 40, ochranné pomůcky - OOPP pro nové zaměstnance a obměna stávajících 40, léky a zdrav.materiál 2, knihy+učební pomůcky+tisk 100, Novojičínský zpravodaj 500, drobný hmotný majetek-nábytek 50, náb. kanc úředníci 500, mobily, skartovačky, kan.židle, skříně, police 380, podlah.krytiny 200, zařiz. předm. WC radnice 30, materiál-kancelářský, hygienický, čistící, doručovací, ikebana, automobily-mazadla, nemrznoucí směsi,... 1075, voda 370, teplo 2100, elektr.energie 1700, pevná paliva 1, PHM 150, služby pošt 2000, telekomun.120, nájemné 126, právní služby 357,400, služby BOZP 72,6, bezplatné právní služby pro veřejnost 50, psychologické poradenství k výběrovým řízením 20, poradenství ProFaktum 119,790, zpracování dat 216, služby vč. úklidu,servisu kopírek, elektrorevize, 3765, opravy a udržování - servis vozidel 150,opravy židlí 20, příp. škodní události 100, střecha radnice 3600, malování, nátěry oken a dveří 450, oprava kanalizace garáže Div. 8 10, </t>
    </r>
    <r>
      <rPr>
        <sz val="9"/>
        <rFont val="Arial CE"/>
      </rPr>
      <t xml:space="preserve"> klimatizace radnice 3013, ostatní opravy 500, pohoštění 200, ostatní nákupy (čl. přísp. auditorů a tajemníků) 4,5, kolky 1, daně a poplatky vč. dálničních známek 21, ostatní výdaje 2</t>
    </r>
    <r>
      <rPr>
        <sz val="9"/>
        <rFont val="Arial CE"/>
      </rPr>
      <t xml:space="preserve"> </t>
    </r>
  </si>
  <si>
    <r>
      <t>z toho</t>
    </r>
    <r>
      <rPr>
        <b/>
        <sz val="9"/>
        <rFont val="Arial CE"/>
      </rPr>
      <t xml:space="preserve"> provoz: </t>
    </r>
    <r>
      <rPr>
        <sz val="9"/>
        <rFont val="Arial CE"/>
      </rPr>
      <t>činnost místní správy-</t>
    </r>
    <r>
      <rPr>
        <b/>
        <sz val="9"/>
        <rFont val="Arial CE"/>
      </rPr>
      <t>org.1905:</t>
    </r>
    <r>
      <rPr>
        <sz val="9"/>
        <rFont val="Arial CE"/>
      </rPr>
      <t xml:space="preserve"> výměna střešní krytiny radnice</t>
    </r>
  </si>
  <si>
    <r>
      <t>z toho</t>
    </r>
    <r>
      <rPr>
        <b/>
        <sz val="9"/>
        <rFont val="Arial CE"/>
      </rPr>
      <t xml:space="preserve"> investice: </t>
    </r>
    <r>
      <rPr>
        <sz val="9"/>
        <rFont val="Arial CE"/>
      </rPr>
      <t>činnost místní správy-</t>
    </r>
    <r>
      <rPr>
        <b/>
        <sz val="9"/>
        <rFont val="Arial CE"/>
      </rPr>
      <t>org.381:</t>
    </r>
    <r>
      <rPr>
        <sz val="9"/>
        <rFont val="Arial CE"/>
      </rPr>
      <t xml:space="preserve"> PD vstup D1, studie využitelnosti dvorní části radnice</t>
    </r>
  </si>
  <si>
    <r>
      <t xml:space="preserve">Úsek informatiky </t>
    </r>
    <r>
      <rPr>
        <sz val="9"/>
        <rFont val="Arial CE"/>
      </rPr>
      <t xml:space="preserve">- </t>
    </r>
    <r>
      <rPr>
        <b/>
        <sz val="9"/>
        <rFont val="Arial CE"/>
      </rPr>
      <t>provoz - org.3381</t>
    </r>
    <r>
      <rPr>
        <sz val="9"/>
        <rFont val="Arial CE"/>
      </rPr>
      <t xml:space="preserve"> (v tom: drobný hmotný majetek-nové PC a LCD monitory, notebooky, kopírky, tiskárny, web kamera - nový HW, drobné síťové prvky, UPS 1105, materiál 275, nájemné 40, školení 50, služby zpracování dat 4353,85, ost.služby-znalecké posudky, osvědčení 30, opravy a udržování 250, nákup softwaru 70</t>
    </r>
  </si>
  <si>
    <r>
      <t>Úsek informatiky</t>
    </r>
    <r>
      <rPr>
        <b/>
        <sz val="9"/>
        <rFont val="Arial CE"/>
      </rPr>
      <t xml:space="preserve"> </t>
    </r>
    <r>
      <rPr>
        <sz val="9"/>
        <rFont val="Arial CE"/>
      </rPr>
      <t xml:space="preserve">- </t>
    </r>
    <r>
      <rPr>
        <b/>
        <sz val="9"/>
        <rFont val="Arial CE"/>
      </rPr>
      <t xml:space="preserve">investice - org.3381 </t>
    </r>
    <r>
      <rPr>
        <sz val="9"/>
        <rFont val="Arial CE"/>
      </rPr>
      <t>programové vybavení - rozvoj GIS 100, nákup IS 1162,81, SW RM a ZM 220,  výzva 109 Efektivní veřejná správa - mob. rozhlas 190, el. úřední deska 700)</t>
    </r>
    <r>
      <rPr>
        <strike/>
        <sz val="9"/>
        <rFont val="Arial CE"/>
      </rPr>
      <t xml:space="preserve"> </t>
    </r>
  </si>
  <si>
    <r>
      <t>projekt Efektivní veřejná správa</t>
    </r>
    <r>
      <rPr>
        <sz val="9"/>
        <rFont val="Arial CE"/>
      </rPr>
      <t xml:space="preserve">- org </t>
    </r>
    <r>
      <rPr>
        <b/>
        <sz val="9"/>
        <rFont val="Arial CE"/>
      </rPr>
      <t>3388+3389</t>
    </r>
  </si>
  <si>
    <r>
      <rPr>
        <sz val="10"/>
        <rFont val="Arial CE"/>
      </rPr>
      <t>Mobilní telefony-</t>
    </r>
    <r>
      <rPr>
        <b/>
        <sz val="10"/>
        <rFont val="Arial CE"/>
      </rPr>
      <t>org.7381</t>
    </r>
  </si>
  <si>
    <r>
      <rPr>
        <sz val="10"/>
        <rFont val="Arial CE"/>
      </rPr>
      <t>Pevné telefony-</t>
    </r>
    <r>
      <rPr>
        <b/>
        <sz val="10"/>
        <rFont val="Arial CE"/>
      </rPr>
      <t>org.8381</t>
    </r>
  </si>
  <si>
    <r>
      <rPr>
        <sz val="10"/>
        <rFont val="Arial CE"/>
      </rPr>
      <t>Dotace na OSPOD-</t>
    </r>
    <r>
      <rPr>
        <b/>
        <sz val="10"/>
        <rFont val="Arial CE"/>
      </rPr>
      <t>org. 1385</t>
    </r>
    <r>
      <rPr>
        <sz val="10"/>
        <rFont val="Arial CE"/>
      </rPr>
      <t xml:space="preserve"> </t>
    </r>
    <r>
      <rPr>
        <sz val="9"/>
        <rFont val="Arial CE"/>
      </rPr>
      <t xml:space="preserve">(v tom: knihy 5, DHM 30, materiál 20, PHM 26, služby telekomunikací 12, zpracování dat 72,6, ostatní služby 7,4) </t>
    </r>
  </si>
  <si>
    <r>
      <t>Humanitární zahr.pomoc přímá</t>
    </r>
    <r>
      <rPr>
        <sz val="10"/>
        <rFont val="Arial CE"/>
      </rPr>
      <t>-zajištění dočas.nouz.přístřeší a ubyt.pro osoby prchající z UA (úz900,ZJ100)</t>
    </r>
  </si>
  <si>
    <r>
      <rPr>
        <b/>
        <sz val="10"/>
        <rFont val="Arial CE"/>
      </rPr>
      <t>Pojištění funkčně nespecifikované</t>
    </r>
    <r>
      <rPr>
        <sz val="9"/>
        <rFont val="Arial CE"/>
      </rPr>
      <t xml:space="preserve"> (pojištění 1900, náhrady za nezpůsobenou újmu 50)</t>
    </r>
  </si>
  <si>
    <r>
      <rPr>
        <b/>
        <sz val="10"/>
        <rFont val="Arial CE"/>
      </rPr>
      <t xml:space="preserve">Rozhlas a televize </t>
    </r>
    <r>
      <rPr>
        <sz val="10"/>
        <rFont val="Arial CE"/>
      </rPr>
      <t>nákup ost. služeb 2601</t>
    </r>
  </si>
  <si>
    <r>
      <t>Ostat.zál.sděl.prostředků-</t>
    </r>
    <r>
      <rPr>
        <sz val="10"/>
        <rFont val="Arial CE"/>
      </rPr>
      <t>peněžitý dar 3 členům redakční rady NJZpravodaje za práci 2018-2022</t>
    </r>
  </si>
  <si>
    <r>
      <t>Zastupitelstva obcí</t>
    </r>
    <r>
      <rPr>
        <sz val="9"/>
        <rFont val="Arial CE"/>
      </rPr>
      <t xml:space="preserve"> (ost.platy-refundace mzdy 25, odměny členů ZM 8600, zák.odvody 1240+774, refund.zák.odvodů 12, školení a vzdělávání pro uvolněné ZM 8, parkovné 0,5, cestovné (ubytování a doprava) 15, pohoštění 75, poplatky na konference 5, dary 30), drobný hm. majetek 600</t>
    </r>
  </si>
  <si>
    <r>
      <rPr>
        <sz val="9"/>
        <rFont val="Arial CE"/>
      </rPr>
      <t>z toho provoz: činnost místní správy-</t>
    </r>
    <r>
      <rPr>
        <b/>
        <sz val="9"/>
        <rFont val="Arial CE"/>
      </rPr>
      <t>org.381</t>
    </r>
    <r>
      <rPr>
        <sz val="9"/>
        <rFont val="Arial CE"/>
      </rPr>
      <t xml:space="preserve"> v tom: platy 87000, ost.platy 10, dohody 1300, refundace 10, zák.odvody 21898,4+7947+490+1, školení a vzdělávání 885+15, nákup ostatních služeb 1976,72+30+80, cestovné 200, poplatky na konference 20, ostatní (ošatné ceremoniářky,matrikářky,hudebníci) 205, náhrady 40, náhrady mezd v nemoci  1400, léky a zdr. mat. 20,</t>
    </r>
  </si>
  <si>
    <r>
      <rPr>
        <sz val="10"/>
        <rFont val="Arial CE"/>
      </rPr>
      <t>Dotace na OSPOD-</t>
    </r>
    <r>
      <rPr>
        <b/>
        <sz val="10"/>
        <rFont val="Arial CE"/>
      </rPr>
      <t>org. 1385</t>
    </r>
    <r>
      <rPr>
        <sz val="10"/>
        <rFont val="Arial CE"/>
      </rPr>
      <t xml:space="preserve"> </t>
    </r>
    <r>
      <rPr>
        <sz val="9"/>
        <rFont val="Arial CE"/>
      </rPr>
      <t>v tom: platy 6110, dohody 30, zák.odvody 1535+552,6, školení 150, cestovné 5</t>
    </r>
  </si>
  <si>
    <r>
      <rPr>
        <b/>
        <sz val="10"/>
        <rFont val="Arial CE"/>
      </rPr>
      <t>Sociální fond</t>
    </r>
    <r>
      <rPr>
        <sz val="10"/>
        <rFont val="Arial CE"/>
      </rPr>
      <t xml:space="preserve"> </t>
    </r>
    <r>
      <rPr>
        <sz val="9"/>
        <rFont val="Arial CE"/>
      </rPr>
      <t xml:space="preserve">(nákup mat. 125+49,5+0,5, nájemné-aktivity odborů 60,7 , stravování 3514,56+100, nákup ost. služeb - akce odborové org. 175 , rekreace zaměstnanců 3302, pohoštění-setkání zaměstnanců+bývalých zaměstnanců 100 , ošatné uvolnění ZM+pověření neuvolnění ZM 93, dary obyvatelstvu při úmrtí zaměstnance nebo člena rodiny 100, jubilea 75, penzijní a životní pojištění zaměstn. 1100+50+30 </t>
    </r>
  </si>
  <si>
    <t>Převody vlastním fondům v rozpočtech územní úrovně</t>
  </si>
  <si>
    <t>528 - Sociální věci</t>
  </si>
  <si>
    <t>Dopravní obslužnost mimo veřejnou službu - BST (org. 5555)</t>
  </si>
  <si>
    <r>
      <rPr>
        <b/>
        <sz val="10"/>
        <rFont val="Arial CE"/>
      </rPr>
      <t xml:space="preserve">Nebytové hospodářství </t>
    </r>
    <r>
      <rPr>
        <sz val="9"/>
        <rFont val="Arial CE"/>
      </rPr>
      <t>(Sokolovská 9: drobný hmotný majetek 2, materiál 1, služby 1)</t>
    </r>
  </si>
  <si>
    <r>
      <rPr>
        <b/>
        <sz val="10"/>
        <rFont val="Arial CE"/>
      </rPr>
      <t xml:space="preserve">Pohřebnictví </t>
    </r>
    <r>
      <rPr>
        <sz val="9"/>
        <rFont val="Arial CE"/>
      </rPr>
      <t>(úhrada sociálních pohřbů)</t>
    </r>
  </si>
  <si>
    <t xml:space="preserve">Ostatní sociální péče a pomoc dětem a mládeži </t>
  </si>
  <si>
    <t>z toho: věcné dary/nákup materiálu (státní příspěvek na výkon OSPOD) ÚZ 13024, org. 1385</t>
  </si>
  <si>
    <t xml:space="preserve">             terapeutické pobyty pro děti ze sociálně znevýhodněného prostředí  (příjmy od rodičů-částečná úhrada)</t>
  </si>
  <si>
    <t>Sociální rehabilitace</t>
  </si>
  <si>
    <r>
      <rPr>
        <b/>
        <sz val="10"/>
        <rFont val="Arial CE"/>
      </rPr>
      <t xml:space="preserve">             </t>
    </r>
    <r>
      <rPr>
        <sz val="10"/>
        <rFont val="Arial CE"/>
      </rPr>
      <t>neinvestiční transfery krajům (smlouva o závazku vůči MSK) ÚZ 00030</t>
    </r>
  </si>
  <si>
    <t>Ostatní sociální péče a pomoc ostatním skupinám fyzických osob</t>
  </si>
  <si>
    <t>z toho: nákup služeb - Komunitní plánování (org. 0439)</t>
  </si>
  <si>
    <t>Podpora samostatného bydlení</t>
  </si>
  <si>
    <t xml:space="preserve">             neinvestiční transfery krajům (smlouva o závazku vůči MSK) ÚZ 00030</t>
  </si>
  <si>
    <t>Raná péče a sociálně aktivizační služby pro rodiny s dětmi</t>
  </si>
  <si>
    <t>Azylové domy, nízkoprahová denní centra a noclehárny</t>
  </si>
  <si>
    <t>Ostatní služby a činnosti v oblasti sociální prevence</t>
  </si>
  <si>
    <t>z toho:   Klub seniorů Nový Jičín (org. 383)</t>
  </si>
  <si>
    <t xml:space="preserve">               Klub seniorů Straník (org. 2383)</t>
  </si>
  <si>
    <t xml:space="preserve">               Klub seniorů Loučka (org. 3383)</t>
  </si>
  <si>
    <t xml:space="preserve">               Kavárničky - setkání seniorů v DPS (org. 3393)</t>
  </si>
  <si>
    <t xml:space="preserve">               Seniorpoint Nový Jičín (org. 5383)</t>
  </si>
  <si>
    <t xml:space="preserve">               Krizové místo pro bezdomovce – investice (org. 9383)</t>
  </si>
  <si>
    <r>
      <t>Ostatní záležitosti soc. věcí a politiky zaměstnanosti</t>
    </r>
    <r>
      <rPr>
        <b/>
        <sz val="9"/>
        <rFont val="Arial CE"/>
      </rPr>
      <t xml:space="preserve"> </t>
    </r>
    <r>
      <rPr>
        <sz val="8"/>
        <rFont val="Arial CE"/>
      </rPr>
      <t>(nákup tiskopisů receptů a žádanek na omamné látky, prov.zál.20tis)</t>
    </r>
  </si>
  <si>
    <t>541 - Dotace, návratné finanční výpomoci a dary cizím subjektům</t>
  </si>
  <si>
    <t>Dotace, návratné finanční výpomoci a dary cizím subjektům celkem:</t>
  </si>
  <si>
    <t>z toho: podpora celoroční činnosti v oblasti sociální (org. 1111)</t>
  </si>
  <si>
    <t xml:space="preserve">             podpora jednorázových akcí v oblasti sociální (org. 1112)</t>
  </si>
  <si>
    <t xml:space="preserve">             podpora sociálních služeb dle zákona o soc.službách (org. 1113)</t>
  </si>
  <si>
    <t xml:space="preserve">             podpora občanů města v pobytových soc. zařízeních (org. 1114)</t>
  </si>
  <si>
    <t xml:space="preserve">             podpora domácí hospicové péče (org. 1115)</t>
  </si>
  <si>
    <t xml:space="preserve">             podpora dobrovolnictví dle zákona o dobrovolnické službě (org. 1116)</t>
  </si>
  <si>
    <t xml:space="preserve">             podpora dostupnosti stomatologické péče ve městě Nový Jičín (org. 0000 § 3512)</t>
  </si>
  <si>
    <t xml:space="preserve">             dary obyvatelstvu - dobrovolní dárci krve (org. 1180 § 6409)</t>
  </si>
  <si>
    <t xml:space="preserve">             individuální dotace a dary (org. 1180)</t>
  </si>
  <si>
    <t xml:space="preserve">             podpora subjektů v soc.oblasti - spoluúčast s MSK (org. 0000 § 4344, 4351, 4371, 4374)</t>
  </si>
  <si>
    <t xml:space="preserve">             podpora SeniorPointu (Společně o.p.s. Brno) - org. 5383 § 4379</t>
  </si>
  <si>
    <t xml:space="preserve">             převod z účtu Fond sociálních služeb</t>
  </si>
  <si>
    <t>Osobní asistence, pečovatelská služba a podpora samostatného bydlení</t>
  </si>
  <si>
    <r>
      <t xml:space="preserve">z toho </t>
    </r>
    <r>
      <rPr>
        <b/>
        <sz val="10"/>
        <rFont val="Arial CE"/>
      </rPr>
      <t>Pečovatelská služba</t>
    </r>
    <r>
      <rPr>
        <b/>
        <sz val="9"/>
        <rFont val="Arial CE"/>
      </rPr>
      <t xml:space="preserve"> (org.390)</t>
    </r>
    <r>
      <rPr>
        <sz val="9"/>
        <rFont val="Arial CE"/>
      </rPr>
      <t>: platy 4385+765, dohody 60+50, zákonné odvody 1102,5+202, 400+73,5, potraviny 1, ochranné osobní pomůcky 40, léky+zdrav.mater.3, prádlo+oděv 2, knihy+tisk 1,5, DHM  50, materiál  120, elektř. 55, PHM 120, služby telekomunikací</t>
    </r>
    <r>
      <rPr>
        <sz val="9"/>
        <color indexed="2"/>
        <rFont val="Arial CE"/>
      </rPr>
      <t xml:space="preserve"> </t>
    </r>
    <r>
      <rPr>
        <sz val="9"/>
        <rFont val="Arial CE"/>
      </rPr>
      <t xml:space="preserve">18, mobily 12, pevné linky 2, školení a vzdělávání 50, zpracování dat 27, služby 70, opravy a udržování 100, cestovné 20, účastnické poplatky na konference 8, ostatní nákupy 0, neinvestiční transfery spolkům 2,9, náhrady mezd v době nemoci 50+20, dopravní prostředky 350 + elektromobil 1300, hybrid 600    </t>
    </r>
  </si>
  <si>
    <r>
      <rPr>
        <sz val="9"/>
        <rFont val="Arial CE"/>
      </rPr>
      <t xml:space="preserve">z toho </t>
    </r>
    <r>
      <rPr>
        <b/>
        <sz val="10"/>
        <rFont val="Arial CE"/>
      </rPr>
      <t>Denní stacionář=Domovinka</t>
    </r>
    <r>
      <rPr>
        <b/>
        <sz val="9"/>
        <rFont val="Arial CE"/>
      </rPr>
      <t xml:space="preserve"> (org.1391)</t>
    </r>
    <r>
      <rPr>
        <sz val="9"/>
        <rFont val="Arial CE"/>
      </rPr>
      <t>: platy 900+ 400, dohody 10, zákonné odvody223,2+99,2 81+36, ochr.os.pomůcky 8, prádlo+oděv 1,5, knihy+tisk 1, DHM 15, materiál 20, elektrická energie 11, služby telekomunikací 1, školení a vzdělávání 10, zpracování dat 5, služby 33, opravy a údržba 5, cestovné 1, účastn.popl.na konferencích 0,5, náhrady mezd v době nemoci  5+10</t>
    </r>
  </si>
  <si>
    <r>
      <rPr>
        <sz val="9"/>
        <rFont val="Arial CE"/>
      </rPr>
      <t xml:space="preserve">z toho </t>
    </r>
    <r>
      <rPr>
        <b/>
        <sz val="10"/>
        <rFont val="Arial CE"/>
      </rPr>
      <t xml:space="preserve">Odlehčovací služba Pohoda </t>
    </r>
    <r>
      <rPr>
        <b/>
        <sz val="9"/>
        <rFont val="Arial CE"/>
      </rPr>
      <t>(org.1393)</t>
    </r>
    <r>
      <rPr>
        <sz val="9"/>
        <rFont val="Arial CE"/>
      </rPr>
      <t xml:space="preserve">: platy 2 900+900, dohody 300, zákonné odvody 793+223,2,  288+81, OOP+oděvy 20+5, DHM 45, materiál 60, elektř.14, telef. 1, školení a vzdělávání 18, zpracování dat 15, služby 50, opravy a údržba 7, cestovné 1, poplatky na konference 0,5, náhrady v době nemoci  50+10                                               </t>
    </r>
  </si>
  <si>
    <t xml:space="preserve">Ozdravování hospodářských zvířat </t>
  </si>
  <si>
    <r>
      <rPr>
        <b/>
        <sz val="10"/>
        <rFont val="Arial CE"/>
      </rPr>
      <t xml:space="preserve">Pěstební činnost </t>
    </r>
    <r>
      <rPr>
        <sz val="9"/>
        <rFont val="Arial CE"/>
      </rPr>
      <t>(znovuzalesnění po kůrovci) - TSM: 0</t>
    </r>
  </si>
  <si>
    <t>Správa v lesním hospodářství</t>
  </si>
  <si>
    <r>
      <rPr>
        <b/>
        <sz val="10"/>
        <rFont val="Arial CE"/>
      </rPr>
      <t xml:space="preserve">Celospolečenské funkce lesů </t>
    </r>
    <r>
      <rPr>
        <sz val="9"/>
        <rFont val="Arial CE"/>
      </rPr>
      <t>(cesty a svážnice+oprava kamenného divadla)</t>
    </r>
  </si>
  <si>
    <t xml:space="preserve">Ostatní záležitosti lesního hospodářství </t>
  </si>
  <si>
    <r>
      <rPr>
        <b/>
        <sz val="10"/>
        <rFont val="Arial CE"/>
      </rPr>
      <t xml:space="preserve">Ostatní správa ve vodním hospodářství </t>
    </r>
    <r>
      <rPr>
        <sz val="9"/>
        <rFont val="Arial CE"/>
      </rPr>
      <t>(havárie)</t>
    </r>
  </si>
  <si>
    <r>
      <rPr>
        <b/>
        <sz val="10"/>
        <rFont val="Arial CE"/>
      </rPr>
      <t>Sběr a svoz nebezpečných odpadů</t>
    </r>
    <r>
      <rPr>
        <b/>
        <sz val="9"/>
        <rFont val="Arial CE"/>
      </rPr>
      <t xml:space="preserve"> </t>
    </r>
    <r>
      <rPr>
        <sz val="9"/>
        <rFont val="Arial CE"/>
      </rPr>
      <t>(TSM: 50)</t>
    </r>
  </si>
  <si>
    <t xml:space="preserve">Sběr a svoz komunálních odpadů </t>
  </si>
  <si>
    <t>z toho: TSM - příspěvek na provoz</t>
  </si>
  <si>
    <t xml:space="preserve">            ostatní provoz město</t>
  </si>
  <si>
    <r>
      <t xml:space="preserve">z toho: TSM příspěvek na investice </t>
    </r>
    <r>
      <rPr>
        <sz val="9"/>
        <rFont val="Arial CE"/>
      </rPr>
      <t>(2022: umístění re-use centra 150, lis objemového odpadu 1053+88.03, košové vozidlo na svou odpadů 3666,3, revitalizace stř.zeleně Pal 1.760, umístění re-use centra 122,376)</t>
    </r>
  </si>
  <si>
    <r>
      <rPr>
        <b/>
        <sz val="10"/>
        <rFont val="Arial CE"/>
      </rPr>
      <t xml:space="preserve">Monitoring půdy a podzemní vody </t>
    </r>
    <r>
      <rPr>
        <sz val="9"/>
        <rFont val="Arial CE"/>
      </rPr>
      <t xml:space="preserve">(sledování vrtů na Kojetíně) </t>
    </r>
  </si>
  <si>
    <r>
      <rPr>
        <b/>
        <sz val="10"/>
        <rFont val="Arial CE"/>
      </rPr>
      <t>Chráněné části přírody</t>
    </r>
    <r>
      <rPr>
        <sz val="9"/>
        <rFont val="Arial CE"/>
      </rPr>
      <t xml:space="preserve"> (památné stromy, významné krajinné prvky)</t>
    </r>
  </si>
  <si>
    <t>Rekultivace půdy</t>
  </si>
  <si>
    <t xml:space="preserve">z toho: Zelené město </t>
  </si>
  <si>
    <r>
      <rPr>
        <sz val="10"/>
        <rFont val="Arial CE"/>
      </rPr>
      <t xml:space="preserve">             údržba zeleně - </t>
    </r>
    <r>
      <rPr>
        <sz val="9"/>
        <rFont val="Arial CE"/>
      </rPr>
      <t>TSM</t>
    </r>
  </si>
  <si>
    <t xml:space="preserve">                                     - ostatní (OŽP)</t>
  </si>
  <si>
    <r>
      <t xml:space="preserve">             příspěvek na investice TSM </t>
    </r>
    <r>
      <rPr>
        <sz val="9"/>
        <rFont val="Arial CE"/>
      </rPr>
      <t xml:space="preserve">(PD boxy na syp.mat. 220, revitalizace střediska veřejné zeleně 18000 + čelní kolový nakladač na kompostárně 1000 s účastí TSM z FI 800) </t>
    </r>
  </si>
  <si>
    <t>Ekologická výchova a osvěta</t>
  </si>
  <si>
    <t>031 - Dotace, návratné finanční výpomoci a dary cizím subjektům</t>
  </si>
  <si>
    <r>
      <rPr>
        <b/>
        <sz val="9"/>
        <rFont val="Arial CE"/>
      </rPr>
      <t>2321</t>
    </r>
    <r>
      <rPr>
        <sz val="9"/>
        <rFont val="Arial CE"/>
      </rPr>
      <t>/6371</t>
    </r>
  </si>
  <si>
    <t>z toho:  dotace ČOV</t>
  </si>
  <si>
    <r>
      <rPr>
        <b/>
        <sz val="9"/>
        <rFont val="Arial CE"/>
      </rPr>
      <t>2399</t>
    </r>
    <r>
      <rPr>
        <sz val="9"/>
        <rFont val="Arial CE"/>
      </rPr>
      <t>/6371</t>
    </r>
  </si>
  <si>
    <t xml:space="preserve">              dotace na využití zachycené dešťové vody</t>
  </si>
  <si>
    <t>3549/5222</t>
  </si>
  <si>
    <t xml:space="preserve">              indiv.peněž.dar -Český svaz signálních zvířat, zs NJ-podpora spolku</t>
  </si>
  <si>
    <t>3900/6322</t>
  </si>
  <si>
    <t xml:space="preserve">              indiv.peněž.dar -Český svaz včelařů, zs NJ-na pořízení přístroje Varroa Controler</t>
  </si>
  <si>
    <t>Střední odborné školy (EDUCA) - běžné opravy 100, zápočet investic a nájmu 278</t>
  </si>
  <si>
    <t>Sportovní zařízení ve vlsatnictví obce</t>
  </si>
  <si>
    <t xml:space="preserve">   Sportovní hala s bazénem: org. 0515, 1515, 2515, 3515</t>
  </si>
  <si>
    <t xml:space="preserve">             - inv.příspěvek Basketbalovému klubu- podlaha basketbalové haly - realizace </t>
  </si>
  <si>
    <t xml:space="preserve">             - podlaha basketbalové haly - realizace </t>
  </si>
  <si>
    <t xml:space="preserve">             - pořízení kamerového systému</t>
  </si>
  <si>
    <t>z toho: opravy a udržování celkem (znal.posudky,služby+opravy+údržba)</t>
  </si>
  <si>
    <t xml:space="preserve">         - v tom:      nepředvídané opravy</t>
  </si>
  <si>
    <t xml:space="preserve">                          PD - střecha dešťové svody</t>
  </si>
  <si>
    <t xml:space="preserve">                          PD  - opravy vnitřního bazénu </t>
  </si>
  <si>
    <t xml:space="preserve">                          oprava dětského brouzdaliště (venkovní bazén)</t>
  </si>
  <si>
    <t xml:space="preserve">                          oprava podlaha basketbalové haly</t>
  </si>
  <si>
    <t>z toho: provoz celkem</t>
  </si>
  <si>
    <t xml:space="preserve">          - příspěvek Basketbalovému klubu, z.s. (provoz+energie)          AÚ 437 </t>
  </si>
  <si>
    <t xml:space="preserve">          - nákup DDHM</t>
  </si>
  <si>
    <t xml:space="preserve">          - elektřina - přečerpávací šachta</t>
  </si>
  <si>
    <t xml:space="preserve">          - SBI - zabezpečovací systém MP</t>
  </si>
  <si>
    <t xml:space="preserve">   Zimní stadión: org. 0522</t>
  </si>
  <si>
    <t xml:space="preserve">             - Řídící systém chlazení ledové plochy </t>
  </si>
  <si>
    <t xml:space="preserve">             - příspěvek Hokejovému klubu, z.s. (provoz+energie)         AÚ 437</t>
  </si>
  <si>
    <t xml:space="preserve">             - SBI - zabezpečovací systém MP</t>
  </si>
  <si>
    <t xml:space="preserve">z toho: opravy a udržování celkem </t>
  </si>
  <si>
    <t xml:space="preserve">            - nepředvídatelné výdaje </t>
  </si>
  <si>
    <t xml:space="preserve">            - oprava venkovních schodů, vstupu a nájezdové rampy</t>
  </si>
  <si>
    <t xml:space="preserve">            - oprava kanalizační přípojky - 60 m</t>
  </si>
  <si>
    <r>
      <t>Využití volného času dětí a mládeže</t>
    </r>
    <r>
      <rPr>
        <sz val="10"/>
        <rFont val="Arial"/>
      </rPr>
      <t xml:space="preserve"> - realizace Soptíkovy herny (participativní prozpočet)</t>
    </r>
  </si>
  <si>
    <t xml:space="preserve">           PD - investice  (Hřbitovní 44, Msgr. Šrámka  13., U Jičínky 25, Trlicova 59)</t>
  </si>
  <si>
    <t xml:space="preserve">           Jičínská  272 - revitalizaci bytového domu, realizace akce vč. dozorů - dotace 4.330.676 Kč</t>
  </si>
  <si>
    <t xml:space="preserve">           Jičínská  275 - revitalizaci bytového domu, realizace akce vč. dozorů - dotace 7.114.813 Kč</t>
  </si>
  <si>
    <t xml:space="preserve">           Na Lani 212 - revitalizace BD,  realizace akce vč.dozorů - dotace 3.605.622,22+úvěr</t>
  </si>
  <si>
    <t xml:space="preserve">           Bytový dům K Archivu 2, NJ - realizace dle PD (2021-2022) vč. dozorů (úvěr)</t>
  </si>
  <si>
    <t xml:space="preserve">z toho: opravy a údržba celkem  </t>
  </si>
  <si>
    <t xml:space="preserve">             Bytový fond města - společné opravy:  </t>
  </si>
  <si>
    <t xml:space="preserve">                          - generální opravy volných bytů (vrácené byty zdevastované nebo po exekucích) - závazek ZM 23 mil. Kč/4 roky</t>
  </si>
  <si>
    <t xml:space="preserve">                          - opravy střech bytových jednotek (havarijní stav)</t>
  </si>
  <si>
    <r>
      <rPr>
        <sz val="10"/>
        <rFont val="Arial"/>
      </rPr>
      <t xml:space="preserve">                          - generální opravy bytů v </t>
    </r>
    <r>
      <rPr>
        <b/>
        <sz val="10"/>
        <rFont val="Arial"/>
      </rPr>
      <t>MPR</t>
    </r>
    <r>
      <rPr>
        <sz val="10"/>
        <rFont val="Arial"/>
      </rPr>
      <t xml:space="preserve"> (MN 16, Jung. 2, 5.května 4)</t>
    </r>
  </si>
  <si>
    <r>
      <t xml:space="preserve">                          PD - opravy střech,fasád, odvhčení domů v </t>
    </r>
    <r>
      <rPr>
        <b/>
        <sz val="10"/>
        <rFont val="Arial"/>
      </rPr>
      <t>MPR</t>
    </r>
    <r>
      <rPr>
        <sz val="10"/>
        <rFont val="Arial"/>
      </rPr>
      <t xml:space="preserve"> : (5.května 16, Dobrovského  5, Gen.Hlaďo 22, Havlíčkova 8 a 11, Křižíkova 1, Žerotínova 9, Dobrovského 2, Resslova 1)</t>
    </r>
  </si>
  <si>
    <t xml:space="preserve">             úsek 1 (p. Najvarová):  </t>
  </si>
  <si>
    <t xml:space="preserve">                          - běžná údržba a opravy, výměny zařizovacích předmětů </t>
  </si>
  <si>
    <t xml:space="preserve">                          - akce úsek 1 celkem:</t>
  </si>
  <si>
    <t xml:space="preserve">                             Dlouhá 19 - oprava celé střechny</t>
  </si>
  <si>
    <t xml:space="preserve">                             Trlicova 10 - výměna 4ks stupaček SV+TUV</t>
  </si>
  <si>
    <t xml:space="preserve">                             Žižkova 12, Žižkova 20 - oprava zdiva a výmalba společných prostor</t>
  </si>
  <si>
    <t xml:space="preserve">             úsek 2 (p. Bartoňová): </t>
  </si>
  <si>
    <t xml:space="preserve">                          - běžná údržba a opravy, výměny zař. předmětů </t>
  </si>
  <si>
    <t xml:space="preserve">                          - akce úsek 2 celkem:</t>
  </si>
  <si>
    <t xml:space="preserve">                             DPS Pod Lipami - oprava balkónů</t>
  </si>
  <si>
    <t xml:space="preserve">                             DPS U Jičínky - oprava střechy II. etapa (havarijní stav) </t>
  </si>
  <si>
    <t xml:space="preserve">                             DPS Pod Lipami - záložní zdroj </t>
  </si>
  <si>
    <t xml:space="preserve">             úsek 4 - MPR (p. Saksová):  </t>
  </si>
  <si>
    <t xml:space="preserve">                         - běžná údržba a opravy, výměny zařizovacích předmětů </t>
  </si>
  <si>
    <t xml:space="preserve">                         - akce úsek 4 celkem: </t>
  </si>
  <si>
    <t xml:space="preserve">                                      Sokolovská 30 - částečná oprava fasády</t>
  </si>
  <si>
    <t xml:space="preserve">                                      Opravy obsazených bytů (dle žádostí nájemců) </t>
  </si>
  <si>
    <t xml:space="preserve">                                      Výměna ITN v bytových domech + ITN Dům K Archivu</t>
  </si>
  <si>
    <t xml:space="preserve">             domovníci (mzdy a odvody, AÚ 0800)</t>
  </si>
  <si>
    <r>
      <t xml:space="preserve">           </t>
    </r>
    <r>
      <rPr>
        <b/>
        <sz val="10"/>
        <rFont val="Arial"/>
      </rPr>
      <t xml:space="preserve">  služby</t>
    </r>
    <r>
      <rPr>
        <sz val="10"/>
        <rFont val="Arial"/>
      </rPr>
      <t xml:space="preserve">  org. 0518 +7518 BD K Archivu + 1518 SVJ-r.2021 </t>
    </r>
    <r>
      <rPr>
        <sz val="9"/>
        <rFont val="Arial"/>
      </rPr>
      <t>(úklidy,revize,výtahy, odečty,poruch.služba, deratizace,čištění kanalizace,komíny, SBI, znal.posudky, úrok-úvěr ČS)</t>
    </r>
  </si>
  <si>
    <t xml:space="preserve">             příspěvek do fondu oprav v SVJ (kotelny Vančurova 16, Dlouhá 45, Mendelova 8) ( pol. 5192)</t>
  </si>
  <si>
    <t xml:space="preserve">Nákup zboží (paragony)- pol. 5139 </t>
  </si>
  <si>
    <t>Náklady na energie - org. 0518+7518</t>
  </si>
  <si>
    <t xml:space="preserve">            - vodné a stočné - org. 0518 7518</t>
  </si>
  <si>
    <t xml:space="preserve">            - dodávka tepla - org. 0518</t>
  </si>
  <si>
    <t xml:space="preserve">            - plyn - org. 0518</t>
  </si>
  <si>
    <t xml:space="preserve">            - elektřina  (1400+100)</t>
  </si>
  <si>
    <t>TSM  - požadavky Redmine, OB příspěvek - AÚ 0437, po. 5169</t>
  </si>
  <si>
    <t xml:space="preserve">Bytové hospodářství - úrok k úvěru </t>
  </si>
  <si>
    <t>Investice celkem:</t>
  </si>
  <si>
    <t xml:space="preserve">              Hückelovy vily - zpracování studií vily J. Hückela (300), aktualizace studie vily  A. Hückela (100), studie areálu (150)</t>
  </si>
  <si>
    <t xml:space="preserve">              Hückelovy vily - spoluúčast na dotačních titulech (fixace nástropních maleb E. Veitha, restaurátorský průzkum maleb)</t>
  </si>
  <si>
    <t xml:space="preserve">              Kulturní a společenský dům PD - II.etapa </t>
  </si>
  <si>
    <t xml:space="preserve">              Příspěvek na investice TSM - AÚ 0800, pol. 6331 /450 + 71-71 - 4ks vrat, chodník S 114/</t>
  </si>
  <si>
    <t xml:space="preserve">              Vybudování Spolkového domu Žilina - realizace</t>
  </si>
  <si>
    <t xml:space="preserve">              Hoblíkova - PD vybudování sestavy kontejnerů  a oprava garáže pro TS NJ vč. IS a zabezpečovacího systému</t>
  </si>
  <si>
    <t xml:space="preserve">              PD ČOV Straník 80 a 147, Nádražní 47-prodejna (topení, WC+sprchy)</t>
  </si>
  <si>
    <t xml:space="preserve">              Kryté stání - rekonstrukce vnitřních prostor </t>
  </si>
  <si>
    <t xml:space="preserve">              Výletní lokalita Čerťák - vybudování venkovní terasy v rámci III. Etapy</t>
  </si>
  <si>
    <t>Nákup DHDM pro org. 0518,8518 - pol. 5137</t>
  </si>
  <si>
    <t>Nákup zboží (paragony)- pol. 5139 (50 tis. 0518, 30 tis. 8518)</t>
  </si>
  <si>
    <t>Náklady na energie - org. 0518, 2518, 8518, 5518</t>
  </si>
  <si>
    <t xml:space="preserve">            - vodné a stočné (400+200+200)</t>
  </si>
  <si>
    <t xml:space="preserve">            - elektřina  (1600+20+80)</t>
  </si>
  <si>
    <t xml:space="preserve">Nákup ostatních služeb + provoz:  </t>
  </si>
  <si>
    <t xml:space="preserve">z toho:  PD pro NP - (fasády, rekonstrukce prodejny, elektro -  Dobrovského 1, Dolní Brána 22) </t>
  </si>
  <si>
    <t xml:space="preserve">            služby + revize org. 0518 - nebytové domy (ČOV apod.)</t>
  </si>
  <si>
    <t xml:space="preserve">            služby + revize  org. 5518 Kulturní a společenský dům</t>
  </si>
  <si>
    <t xml:space="preserve">            služby + revize org. 8518  Hűckelovy vily    dohody+odvody, revize EZS </t>
  </si>
  <si>
    <t xml:space="preserve">            dohody+odvody - Bludovice, Straník, Kojetín</t>
  </si>
  <si>
    <t xml:space="preserve">            TSM provoz veřejných WC+WC u letního kina (1550) AÚ 0800</t>
  </si>
  <si>
    <t xml:space="preserve">            TSM - požadavky Redmine, OB příspěvek - AÚ 0800, pol. 5169)</t>
  </si>
  <si>
    <t xml:space="preserve">            Hűckelovy vily - internetové připojení AÚ 0800, pol.5161</t>
  </si>
  <si>
    <t xml:space="preserve">            Hückelovy vily - konzultační a právní služby, znal. posudky - studie maleb </t>
  </si>
  <si>
    <t xml:space="preserve">            Hűckelovy vily - elektronické zabezpečení SBI + revize AÚ 0437, pol. 5169</t>
  </si>
  <si>
    <t xml:space="preserve">Opravy a údržba NP celkem </t>
  </si>
  <si>
    <t xml:space="preserve">              Příspěvek na TSM  výměna osvětlení budova TS 100.000 Kč, výměna VO v areálu 386.000 Kč) - AÚ 0800, pol. 6351</t>
  </si>
  <si>
    <t xml:space="preserve">             úsek 5 - NP MPR (p. Saksová):</t>
  </si>
  <si>
    <t xml:space="preserve">                         - běžné opravy a údržba:</t>
  </si>
  <si>
    <t xml:space="preserve">                         - akce úsek MPR  celkem:</t>
  </si>
  <si>
    <t xml:space="preserve">                           Msgr. Šrámka 11 - zubní poliklinika - oprava padajících atik staré části budovy</t>
  </si>
  <si>
    <t xml:space="preserve">             úsek 6 (p. Friedecká): </t>
  </si>
  <si>
    <t xml:space="preserve">                          - běžné opravy a údržba:</t>
  </si>
  <si>
    <t xml:space="preserve">                          - akce úsek 6 celkem:</t>
  </si>
  <si>
    <t xml:space="preserve">                                      Hotel Praha běžná údržba (světlík střecha PD)</t>
  </si>
  <si>
    <t xml:space="preserve">                                      Hűckelovy vily (oprava a údržba do doby rekonstrukce)</t>
  </si>
  <si>
    <t xml:space="preserve">                                      Hückelovy vily - oprava vrátnice </t>
  </si>
  <si>
    <t xml:space="preserve">                                      Jiráskova - hala Boban, zázemí tenisových kurtů (záchovná údržba)</t>
  </si>
  <si>
    <t xml:space="preserve">Osadní výbory celkem:                                                                                       </t>
  </si>
  <si>
    <t>Straník 80 (vnitřní elektroinstalace, výmalba, PD ČOV)</t>
  </si>
  <si>
    <t>SK Straník 147 (oprava střechy)</t>
  </si>
  <si>
    <t>Bludovice 13 - 2020 = běžné opravy, PD střecha</t>
  </si>
  <si>
    <t>Žilina</t>
  </si>
  <si>
    <t>Kojetín 7 - dílčí oprava objektu dle projektové dokumentace</t>
  </si>
  <si>
    <t>Lokální zásobování teplem (tepelné hospodářství)</t>
  </si>
  <si>
    <t>z toho:  nákup služeb - obsluha a revize kotelny Hotelu Praha + Suvorovova 152, revize  pol. 5169</t>
  </si>
  <si>
    <t>z toho opravy:  nepředvídané opravy a havárie teplovodů Smetanovy Sady a Pod Lipami</t>
  </si>
  <si>
    <t xml:space="preserve">             nepředvídané opravy tepelného hospodářství</t>
  </si>
  <si>
    <t xml:space="preserve">             opravy kotelen - sanace, opravy střechy, omítek</t>
  </si>
  <si>
    <t xml:space="preserve">z toho: investice celkem </t>
  </si>
  <si>
    <t xml:space="preserve">             PD 3 kotelen (Revoluční, Masarykovo nám. 1, Pod Lipami) (org. 0516 pol. 6121)</t>
  </si>
  <si>
    <t xml:space="preserve">             Modernizace kotelny Mendelova (org. 0516, pol. 6122)</t>
  </si>
  <si>
    <t xml:space="preserve">             Modernizace kotelny Luční 2 (org. 0516, pol. 6122)</t>
  </si>
  <si>
    <t xml:space="preserve">             Modernizace kotelny Luční 3 (org. 0516, pol. 6122)</t>
  </si>
  <si>
    <t xml:space="preserve">             Modernizace kotelny Luční 4 (org. 0516, pol. 6122)</t>
  </si>
  <si>
    <t xml:space="preserve">             Dodávka 34 ks nerez zásobníků teplé vody do kotelen a odběrných před.stanic v domech</t>
  </si>
  <si>
    <t xml:space="preserve">             Připojení Dlouhá 45,47 na teplovody z výtopny Anenská </t>
  </si>
  <si>
    <r>
      <t>Osobní asistence, pečovatelská služba a podpora samostatného bydlení</t>
    </r>
    <r>
      <rPr>
        <sz val="10"/>
        <rFont val="Arial"/>
      </rPr>
      <t xml:space="preserve"> </t>
    </r>
    <r>
      <rPr>
        <sz val="9"/>
        <rFont val="Arial"/>
      </rPr>
      <t>(DPS-telefony, AÚ 0800)</t>
    </r>
  </si>
  <si>
    <t xml:space="preserve">z toho: opravy a údržba celkem (nejnutnější akce)                                                                                     </t>
  </si>
  <si>
    <t xml:space="preserve">            Azylový dům Nový Jičín (oprava 4  pokojů-1. p.-muži)</t>
  </si>
  <si>
    <t xml:space="preserve">            Azylový dům Straník (PD a oprava vnitřních prostor, nové oplocení )</t>
  </si>
  <si>
    <t>Činnost místní správy</t>
  </si>
  <si>
    <t>z toho: komplexní řízení energetiky - energ. management PORSENA</t>
  </si>
  <si>
    <t xml:space="preserve">            komplexní řízení energetiky - nový software energetický management a roční poplatek </t>
  </si>
  <si>
    <t xml:space="preserve">            energetické hospodářství - výroční souhrnná zpráva na rok 2022</t>
  </si>
  <si>
    <t xml:space="preserve">            energetické dokumentace (EA, PENB, energetický posudek dle požadavku dotací)</t>
  </si>
  <si>
    <t xml:space="preserve">            opravy VN rozvaděčů a trafostanic - bazén, zimní stadion, tržnice, areál TSMNJ </t>
  </si>
  <si>
    <t>ORJ 04X - Odbor územního plánování a stavebního řádu</t>
  </si>
  <si>
    <r>
      <rPr>
        <b/>
        <sz val="10"/>
        <rFont val="Arial CE"/>
      </rPr>
      <t xml:space="preserve">Ostatní správa v průmyslu, stavebnictví, obchodu a službách </t>
    </r>
    <r>
      <rPr>
        <sz val="9"/>
        <rFont val="Arial CE"/>
      </rPr>
      <t>(stavební úřad)</t>
    </r>
  </si>
  <si>
    <r>
      <rPr>
        <sz val="10"/>
        <rFont val="Arial CE"/>
      </rPr>
      <t xml:space="preserve">z toho: konzultační, poradenské a právní služby </t>
    </r>
    <r>
      <rPr>
        <sz val="9"/>
        <rFont val="Arial CE"/>
      </rPr>
      <t>(znalecké posudky)</t>
    </r>
  </si>
  <si>
    <r>
      <rPr>
        <sz val="10"/>
        <rFont val="Arial CE"/>
      </rPr>
      <t xml:space="preserve">             nákup ostatních služeb </t>
    </r>
    <r>
      <rPr>
        <sz val="9"/>
        <rFont val="Arial CE"/>
      </rPr>
      <t>(revize, odborné služby, doprava aj.)</t>
    </r>
  </si>
  <si>
    <t xml:space="preserve">             platby daní a poplatků státnímu rozpočtu</t>
  </si>
  <si>
    <t>Územní plánování</t>
  </si>
  <si>
    <t>z toho: územní studie</t>
  </si>
  <si>
    <t xml:space="preserve">             změny územního plánu města</t>
  </si>
  <si>
    <t>041 - Dotace, návratné finanční výpomoci a dary cizím subjektům</t>
  </si>
  <si>
    <r>
      <rPr>
        <b/>
        <sz val="10"/>
        <rFont val="Arial CE"/>
      </rPr>
      <t xml:space="preserve">Dotace, návratné finanční výpomoci a dary cizím subjektům </t>
    </r>
    <r>
      <rPr>
        <sz val="9"/>
        <rFont val="Arial CE"/>
      </rPr>
      <t>(estetizace)</t>
    </r>
  </si>
  <si>
    <r>
      <rPr>
        <b/>
        <sz val="9"/>
        <rFont val="Arial CE"/>
      </rPr>
      <t>2321</t>
    </r>
    <r>
      <rPr>
        <sz val="9"/>
        <rFont val="Arial CE"/>
      </rPr>
      <t>/5329                                                                                                                                                                                                                                                                                                                                                                                                                                                                                                                         231440/741/</t>
    </r>
    <r>
      <rPr>
        <b/>
        <sz val="9"/>
        <rFont val="Arial CE"/>
      </rPr>
      <t>2321</t>
    </r>
    <r>
      <rPr>
        <sz val="9"/>
        <rFont val="Arial CE"/>
      </rPr>
      <t>/5169</t>
    </r>
  </si>
  <si>
    <r>
      <t xml:space="preserve">Odvádění odpadních vod </t>
    </r>
    <r>
      <rPr>
        <sz val="9"/>
        <rFont val="Arial CE"/>
      </rPr>
      <t>(splátky úvěru: 2021: 605.212,92 Kč, 2022: doplatek 302.606,46 Kč-na pol. 8901, úrok z úvěru: 2021: 6.808,62 Kč, 2022: 1.134,76 Kč + poměrná část 25% na provoz DSO dle mandátní smlouvy r. 2021 i r. 2022: 242.500 Kč)</t>
    </r>
  </si>
  <si>
    <r>
      <t>Ostatní výdaje z finančního vypořádání</t>
    </r>
    <r>
      <rPr>
        <sz val="9"/>
        <rFont val="Arial CE"/>
      </rPr>
      <t xml:space="preserve"> (dopl.energií 2021 - org. 0322+0325)</t>
    </r>
  </si>
  <si>
    <r>
      <rPr>
        <b/>
        <sz val="10"/>
        <rFont val="Arial CE"/>
      </rPr>
      <t>Finanční vypořádání Veolia Energie ČR</t>
    </r>
    <r>
      <rPr>
        <b/>
        <sz val="9"/>
        <rFont val="Arial CE"/>
      </rPr>
      <t xml:space="preserve"> </t>
    </r>
    <r>
      <rPr>
        <sz val="9"/>
        <rFont val="Arial CE"/>
      </rPr>
      <t>(dle fakturace skutečně odebraného množství GJ 2016-2018)</t>
    </r>
  </si>
  <si>
    <r>
      <rPr>
        <b/>
        <sz val="10"/>
        <rFont val="Arial CE"/>
      </rPr>
      <t xml:space="preserve">Komunální služby a územní rozvoj </t>
    </r>
    <r>
      <rPr>
        <sz val="9"/>
        <rFont val="Arial CE"/>
      </rPr>
      <t>(soudní poplatky, realizace exekucí, ...)</t>
    </r>
  </si>
  <si>
    <r>
      <rPr>
        <b/>
        <sz val="10"/>
        <rFont val="Arial CE"/>
      </rPr>
      <t xml:space="preserve">Činnost místní správy </t>
    </r>
    <r>
      <rPr>
        <sz val="9"/>
        <rFont val="Arial CE"/>
      </rPr>
      <t>(daňové, účetní poradenství, odborné konzultace, psí známky, poplatky FÚ za bezdlužnost města)</t>
    </r>
  </si>
  <si>
    <r>
      <t>Humanitární pomoc</t>
    </r>
    <r>
      <rPr>
        <sz val="10"/>
        <rFont val="Arial CE"/>
      </rPr>
      <t>-peněžité dary Velvyslanectví Ukrajina a do veřejných sbírek</t>
    </r>
  </si>
  <si>
    <r>
      <rPr>
        <b/>
        <sz val="10"/>
        <rFont val="Arial CE"/>
      </rPr>
      <t>Výdaje z finančních operací</t>
    </r>
    <r>
      <rPr>
        <b/>
        <sz val="9"/>
        <rFont val="Arial CE"/>
      </rPr>
      <t xml:space="preserve"> </t>
    </r>
    <r>
      <rPr>
        <sz val="9"/>
        <rFont val="Arial CE"/>
      </rPr>
      <t>(bankovní poplatky za vedení účtů a položky)</t>
    </r>
  </si>
  <si>
    <t>Ostatní finanční operace</t>
  </si>
  <si>
    <r>
      <rPr>
        <sz val="10"/>
        <rFont val="Arial CE"/>
      </rPr>
      <t xml:space="preserve">z toho: daň z příjmů právnických osob za obec </t>
    </r>
    <r>
      <rPr>
        <sz val="9"/>
        <rFont val="Arial CE"/>
      </rPr>
      <t>(stejná výše je uvedena i v příjmech na pol. 1122)</t>
    </r>
  </si>
  <si>
    <t xml:space="preserve">             daň z přidané hodnoty za obec </t>
  </si>
  <si>
    <t>Finanční vypořádání</t>
  </si>
  <si>
    <t xml:space="preserve">                vratka části nevyčerp.dotace 2021 - výkon SPOD úz 13011</t>
  </si>
  <si>
    <t xml:space="preserve">                vratka části nevyčerp.dotace 2021 - SVČ Fokus-Podpora okr.a kraj.kol soutěží a přehl úz 33166(bylo vrác z 2229)</t>
  </si>
  <si>
    <t xml:space="preserve">                vratka nevyčerp.dotace 2021 - asistenti sčítacích komisařů SLBD 2021</t>
  </si>
  <si>
    <t>Ostatní činnosti j.n.</t>
  </si>
  <si>
    <r>
      <t>2310800/741/</t>
    </r>
    <r>
      <rPr>
        <b/>
        <sz val="9"/>
        <rFont val="Arial CE"/>
      </rPr>
      <t>6409</t>
    </r>
    <r>
      <rPr>
        <sz val="9"/>
        <rFont val="Arial CE"/>
      </rPr>
      <t>/5901</t>
    </r>
  </si>
  <si>
    <t xml:space="preserve">z toho: rozpočtová rezerva </t>
  </si>
  <si>
    <r>
      <t xml:space="preserve">            členství města ve svazech a sdruž. </t>
    </r>
    <r>
      <rPr>
        <sz val="9"/>
        <rFont val="Arial CE"/>
      </rPr>
      <t>(org.1010): r. 2022: Partnerství pro městskou mobilitu (bývalá Asociace cykloměst) 5, MAS Lašsko 80, Národní síť zdravých měst 44,7735, Svaz měst a obcí 76,89776, Sdružení historických sídel 28,195, EUROREGION SILESIA-CZ 58,74, ...</t>
    </r>
  </si>
  <si>
    <t xml:space="preserve">           přeúčtování zůstatku účtů SberBank na pohledávky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</si>
</sst>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5" x14ac:knownFonts="1">
    <font>
      <sz val="10"/>
      <color theme="1"/>
      <name val="Arial CE"/>
    </font>
    <font>
      <b/>
      <sz val="9"/>
      <name val="Arial CE"/>
    </font>
    <font>
      <sz val="8"/>
      <name val="Arial CE"/>
    </font>
    <font>
      <b/>
      <sz val="14"/>
      <name val="Arial CE"/>
    </font>
    <font>
      <b/>
      <sz val="12"/>
      <name val="Arial CE"/>
    </font>
    <font>
      <sz val="9"/>
      <name val="Arial CE"/>
    </font>
    <font>
      <sz val="10"/>
      <name val="Arial CE"/>
    </font>
    <font>
      <b/>
      <sz val="16"/>
      <name val="Arial CE"/>
    </font>
    <font>
      <b/>
      <sz val="10"/>
      <name val="Arial CE"/>
    </font>
    <font>
      <b/>
      <sz val="18"/>
      <name val="Arial CE"/>
    </font>
    <font>
      <b/>
      <sz val="17"/>
      <name val="Arial CE"/>
    </font>
    <font>
      <sz val="18"/>
      <name val="Arial CE"/>
    </font>
    <font>
      <b/>
      <i/>
      <sz val="12"/>
      <name val="Arial CE"/>
    </font>
    <font>
      <i/>
      <sz val="10"/>
      <name val="Arial CE"/>
    </font>
    <font>
      <i/>
      <sz val="12"/>
      <name val="Arial CE"/>
    </font>
    <font>
      <b/>
      <sz val="8"/>
      <name val="Arial CE"/>
    </font>
    <font>
      <sz val="16"/>
      <name val="Arial CE"/>
    </font>
    <font>
      <b/>
      <sz val="10"/>
      <color indexed="64"/>
      <name val="Arial CE"/>
    </font>
    <font>
      <sz val="10"/>
      <name val="Arial"/>
    </font>
    <font>
      <i/>
      <sz val="9"/>
      <name val="Arial CE"/>
    </font>
    <font>
      <b/>
      <i/>
      <sz val="9"/>
      <name val="Arial CE"/>
    </font>
    <font>
      <b/>
      <sz val="10"/>
      <color indexed="64"/>
      <name val="Arial"/>
    </font>
    <font>
      <sz val="9"/>
      <name val="Arial"/>
    </font>
    <font>
      <b/>
      <sz val="20"/>
      <name val="Arial CE"/>
    </font>
    <font>
      <sz val="20"/>
      <name val="Arial CE"/>
    </font>
    <font>
      <sz val="10"/>
      <color indexed="64"/>
      <name val="Arial CE"/>
    </font>
    <font>
      <b/>
      <sz val="12"/>
      <color indexed="64"/>
      <name val="Arial CE"/>
    </font>
    <font>
      <sz val="11"/>
      <color theme="1"/>
      <name val="Calibri"/>
      <scheme val="minor"/>
    </font>
    <font>
      <sz val="8"/>
      <name val="Arial"/>
    </font>
    <font>
      <b/>
      <i/>
      <sz val="10"/>
      <name val="Arial CE"/>
    </font>
    <font>
      <sz val="10"/>
      <color rgb="FF00B0F0"/>
      <name val="Arial CE"/>
    </font>
    <font>
      <sz val="10"/>
      <color rgb="FF0070C0"/>
      <name val="Arial CE"/>
    </font>
    <font>
      <strike/>
      <sz val="9"/>
      <name val="Arial CE"/>
    </font>
    <font>
      <u/>
      <sz val="9"/>
      <name val="Arial CE"/>
    </font>
    <font>
      <sz val="9"/>
      <color indexed="2"/>
      <name val="Arial CE"/>
    </font>
    <font>
      <b/>
      <sz val="10"/>
      <name val="Arial"/>
    </font>
    <font>
      <b/>
      <i/>
      <sz val="10"/>
      <name val="Arial"/>
    </font>
    <font>
      <b/>
      <i/>
      <sz val="10"/>
      <color indexed="64"/>
      <name val="Arial"/>
    </font>
    <font>
      <b/>
      <sz val="10"/>
      <color indexed="2"/>
      <name val="Arial"/>
    </font>
    <font>
      <b/>
      <i/>
      <sz val="10"/>
      <color indexed="2"/>
      <name val="Arial"/>
    </font>
    <font>
      <i/>
      <sz val="10"/>
      <name val="Arial"/>
    </font>
    <font>
      <sz val="11"/>
      <color indexed="64"/>
      <name val="Calibri"/>
    </font>
    <font>
      <sz val="11"/>
      <name val="Arial"/>
    </font>
    <font>
      <b/>
      <sz val="9"/>
      <name val="Tahoma"/>
    </font>
    <font>
      <sz val="9"/>
      <name val="Tahoma"/>
    </font>
  </fonts>
  <fills count="10">
    <fill>
      <patternFill patternType="none"/>
    </fill>
    <fill>
      <patternFill patternType="gray125"/>
    </fill>
    <fill>
      <patternFill patternType="solid">
        <fgColor indexed="65"/>
        <bgColor indexed="26"/>
      </patternFill>
    </fill>
    <fill>
      <patternFill patternType="solid">
        <fgColor theme="2"/>
        <bgColor theme="2"/>
      </patternFill>
    </fill>
    <fill>
      <patternFill patternType="solid">
        <fgColor theme="6" tint="0.79998168889431442"/>
        <bgColor theme="6" tint="0.79998168889431442"/>
      </patternFill>
    </fill>
    <fill>
      <patternFill patternType="solid">
        <fgColor theme="0"/>
        <bgColor theme="0"/>
      </patternFill>
    </fill>
    <fill>
      <patternFill patternType="solid">
        <fgColor indexed="65"/>
      </patternFill>
    </fill>
    <fill>
      <patternFill patternType="solid">
        <fgColor indexed="42"/>
        <bgColor indexed="27"/>
      </patternFill>
    </fill>
    <fill>
      <patternFill patternType="solid">
        <fgColor indexed="26"/>
      </patternFill>
    </fill>
    <fill>
      <patternFill patternType="solid">
        <fgColor indexed="26"/>
        <bgColor indexed="26"/>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indexed="64"/>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medium">
        <color indexed="64"/>
      </bottom>
      <diagonal/>
    </border>
    <border>
      <left style="medium">
        <color auto="1"/>
      </left>
      <right style="medium">
        <color auto="1"/>
      </right>
      <top/>
      <bottom style="hair">
        <color auto="1"/>
      </bottom>
      <diagonal/>
    </border>
    <border>
      <left style="medium">
        <color auto="1"/>
      </left>
      <right style="medium">
        <color auto="1"/>
      </right>
      <top/>
      <bottom/>
      <diagonal/>
    </border>
    <border>
      <left style="medium">
        <color auto="1"/>
      </left>
      <right/>
      <top/>
      <bottom style="hair">
        <color auto="1"/>
      </bottom>
      <diagonal/>
    </border>
    <border>
      <left/>
      <right/>
      <top/>
      <bottom style="hair">
        <color auto="1"/>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style="medium">
        <color auto="1"/>
      </left>
      <right style="medium">
        <color auto="1"/>
      </right>
      <top style="dotted">
        <color auto="1"/>
      </top>
      <bottom/>
      <diagonal/>
    </border>
    <border>
      <left style="medium">
        <color auto="1"/>
      </left>
      <right/>
      <top style="hair">
        <color auto="1"/>
      </top>
      <bottom style="hair">
        <color auto="1"/>
      </bottom>
      <diagonal/>
    </border>
    <border>
      <left/>
      <right/>
      <top style="hair">
        <color auto="1"/>
      </top>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auto="1"/>
      </left>
      <right/>
      <top style="medium">
        <color indexed="64"/>
      </top>
      <bottom style="hair">
        <color indexed="64"/>
      </bottom>
      <diagonal/>
    </border>
    <border>
      <left style="medium">
        <color auto="1"/>
      </left>
      <right/>
      <top/>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indexed="64"/>
      </bottom>
      <diagonal/>
    </border>
    <border>
      <left style="medium">
        <color auto="1"/>
      </left>
      <right/>
      <top style="medium">
        <color indexed="64"/>
      </top>
      <bottom/>
      <diagonal/>
    </border>
    <border>
      <left/>
      <right/>
      <top style="medium">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top/>
      <bottom style="medium">
        <color auto="1"/>
      </bottom>
      <diagonal/>
    </border>
    <border>
      <left/>
      <right style="medium">
        <color auto="1"/>
      </right>
      <top style="medium">
        <color indexed="64"/>
      </top>
      <bottom style="medium">
        <color indexed="64"/>
      </bottom>
      <diagonal/>
    </border>
    <border>
      <left style="medium">
        <color auto="1"/>
      </left>
      <right/>
      <top style="hair">
        <color auto="1"/>
      </top>
      <bottom style="medium">
        <color auto="1"/>
      </bottom>
      <diagonal/>
    </border>
    <border>
      <left style="medium">
        <color auto="1"/>
      </left>
      <right/>
      <top/>
      <bottom style="medium">
        <color indexed="64"/>
      </bottom>
      <diagonal/>
    </border>
    <border>
      <left style="medium">
        <color auto="1"/>
      </left>
      <right/>
      <top style="hair">
        <color auto="1"/>
      </top>
      <bottom/>
      <diagonal/>
    </border>
  </borders>
  <cellStyleXfs count="5">
    <xf numFmtId="0" fontId="0" fillId="0" borderId="0"/>
    <xf numFmtId="0" fontId="27" fillId="9" borderId="1" applyNumberFormat="0" applyFont="0" applyProtection="0"/>
    <xf numFmtId="0" fontId="6" fillId="8" borderId="19" applyNumberFormat="0" applyProtection="0"/>
    <xf numFmtId="0" fontId="6" fillId="0" borderId="0"/>
    <xf numFmtId="0" fontId="41" fillId="0" borderId="0"/>
  </cellStyleXfs>
  <cellXfs count="506">
    <xf numFmtId="0" fontId="0" fillId="0" borderId="0" xfId="0"/>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4" fontId="4" fillId="0" borderId="3" xfId="0" applyNumberFormat="1" applyFont="1" applyBorder="1" applyAlignment="1">
      <alignment horizontal="center" wrapText="1"/>
    </xf>
    <xf numFmtId="4" fontId="0" fillId="0" borderId="3" xfId="0" applyNumberForma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6" fillId="0" borderId="0" xfId="0" applyNumberFormat="1" applyFont="1" applyAlignment="1">
      <alignment horizontal="center" vertical="center"/>
    </xf>
    <xf numFmtId="0" fontId="6" fillId="0" borderId="0" xfId="0" applyFont="1"/>
    <xf numFmtId="0" fontId="6" fillId="0" borderId="5" xfId="0" applyFont="1" applyBorder="1"/>
    <xf numFmtId="0" fontId="7" fillId="0" borderId="5" xfId="0" applyFont="1" applyBorder="1"/>
    <xf numFmtId="4" fontId="4" fillId="0" borderId="5" xfId="0" applyNumberFormat="1" applyFont="1" applyBorder="1" applyAlignment="1">
      <alignment horizontal="center" vertical="center" wrapText="1"/>
    </xf>
    <xf numFmtId="4" fontId="4" fillId="0" borderId="5" xfId="0" applyNumberFormat="1" applyFont="1" applyBorder="1" applyAlignment="1">
      <alignment horizontal="center" wrapText="1"/>
    </xf>
    <xf numFmtId="4" fontId="0" fillId="0" borderId="5" xfId="0" applyNumberFormat="1" applyBorder="1" applyAlignment="1">
      <alignment horizontal="center" vertical="center" wrapText="1"/>
    </xf>
    <xf numFmtId="4" fontId="4" fillId="0" borderId="0" xfId="0" applyNumberFormat="1" applyFont="1" applyAlignment="1">
      <alignment horizontal="center" vertical="center" wrapText="1"/>
    </xf>
    <xf numFmtId="0" fontId="3" fillId="0" borderId="6" xfId="0" applyFont="1" applyBorder="1"/>
    <xf numFmtId="0" fontId="3" fillId="0" borderId="6" xfId="0" applyFont="1" applyBorder="1" applyAlignment="1">
      <alignment vertical="center" wrapText="1"/>
    </xf>
    <xf numFmtId="4" fontId="3" fillId="0" borderId="6" xfId="0" applyNumberFormat="1" applyFont="1" applyBorder="1" applyAlignment="1">
      <alignment shrinkToFit="1"/>
    </xf>
    <xf numFmtId="4" fontId="0" fillId="0" borderId="6" xfId="0" applyNumberFormat="1" applyBorder="1" applyAlignment="1">
      <alignment shrinkToFit="1"/>
    </xf>
    <xf numFmtId="4" fontId="6" fillId="0" borderId="0" xfId="0" applyNumberFormat="1" applyFont="1" applyAlignment="1">
      <alignment vertical="center"/>
    </xf>
    <xf numFmtId="4" fontId="8" fillId="0" borderId="0" xfId="0" applyNumberFormat="1" applyFont="1"/>
    <xf numFmtId="0" fontId="8" fillId="0" borderId="0" xfId="0" applyFont="1"/>
    <xf numFmtId="0" fontId="8" fillId="0" borderId="6" xfId="0" applyFont="1" applyBorder="1"/>
    <xf numFmtId="4" fontId="3" fillId="0" borderId="6" xfId="0" applyNumberFormat="1" applyFont="1" applyBorder="1"/>
    <xf numFmtId="4" fontId="0" fillId="0" borderId="6" xfId="0" applyNumberFormat="1" applyBorder="1"/>
    <xf numFmtId="0" fontId="8" fillId="2" borderId="6" xfId="0" applyFont="1" applyFill="1" applyBorder="1"/>
    <xf numFmtId="0" fontId="8" fillId="2" borderId="7" xfId="0" applyFont="1" applyFill="1" applyBorder="1"/>
    <xf numFmtId="0" fontId="3" fillId="0" borderId="7" xfId="0" applyFont="1" applyBorder="1"/>
    <xf numFmtId="4" fontId="3" fillId="0" borderId="7" xfId="0" applyNumberFormat="1" applyFont="1" applyBorder="1"/>
    <xf numFmtId="4" fontId="0" fillId="0" borderId="7" xfId="0" applyNumberFormat="1" applyBorder="1"/>
    <xf numFmtId="0" fontId="7" fillId="2" borderId="6" xfId="0" applyFont="1" applyFill="1" applyBorder="1"/>
    <xf numFmtId="0" fontId="7" fillId="0" borderId="6" xfId="0" applyFont="1" applyBorder="1"/>
    <xf numFmtId="4" fontId="7" fillId="0" borderId="6" xfId="0" applyNumberFormat="1" applyFont="1" applyBorder="1" applyAlignment="1">
      <alignment vertical="center" shrinkToFit="1"/>
    </xf>
    <xf numFmtId="4" fontId="0" fillId="0" borderId="6" xfId="0" applyNumberFormat="1" applyBorder="1" applyAlignment="1">
      <alignment vertical="center" shrinkToFit="1"/>
    </xf>
    <xf numFmtId="4" fontId="6" fillId="0" borderId="0" xfId="0" applyNumberFormat="1" applyFont="1"/>
    <xf numFmtId="0" fontId="8" fillId="2" borderId="8" xfId="0" applyFont="1" applyFill="1" applyBorder="1"/>
    <xf numFmtId="0" fontId="3" fillId="0" borderId="8" xfId="0" applyFont="1" applyBorder="1"/>
    <xf numFmtId="4" fontId="3" fillId="0" borderId="8" xfId="0" applyNumberFormat="1" applyFont="1" applyBorder="1" applyAlignment="1">
      <alignment shrinkToFit="1"/>
    </xf>
    <xf numFmtId="4" fontId="0" fillId="0" borderId="8" xfId="0" applyNumberFormat="1" applyBorder="1" applyAlignment="1">
      <alignment shrinkToFit="1"/>
    </xf>
    <xf numFmtId="0" fontId="9" fillId="2" borderId="2" xfId="0" applyFont="1" applyFill="1" applyBorder="1"/>
    <xf numFmtId="0" fontId="9" fillId="0" borderId="2" xfId="0" applyFont="1" applyBorder="1"/>
    <xf numFmtId="4" fontId="9" fillId="0" borderId="2" xfId="0" applyNumberFormat="1" applyFont="1" applyBorder="1" applyAlignment="1">
      <alignment shrinkToFit="1"/>
    </xf>
    <xf numFmtId="4" fontId="0" fillId="0" borderId="2" xfId="0" applyNumberFormat="1" applyBorder="1" applyAlignment="1">
      <alignment shrinkToFit="1"/>
    </xf>
    <xf numFmtId="4" fontId="10" fillId="0" borderId="2" xfId="0" applyNumberFormat="1" applyFont="1" applyBorder="1" applyAlignment="1">
      <alignment shrinkToFit="1"/>
    </xf>
    <xf numFmtId="0" fontId="11" fillId="0" borderId="0" xfId="0" applyFont="1"/>
    <xf numFmtId="0" fontId="6" fillId="2" borderId="9" xfId="0" applyFont="1" applyFill="1" applyBorder="1"/>
    <xf numFmtId="0" fontId="7" fillId="0" borderId="9" xfId="0" applyFont="1" applyBorder="1"/>
    <xf numFmtId="4" fontId="0" fillId="0" borderId="9" xfId="0" applyNumberFormat="1" applyBorder="1" applyAlignment="1">
      <alignment vertical="center"/>
    </xf>
    <xf numFmtId="164" fontId="12" fillId="0" borderId="9" xfId="0" applyNumberFormat="1" applyFont="1" applyBorder="1"/>
    <xf numFmtId="164" fontId="13" fillId="0" borderId="9" xfId="0" applyNumberFormat="1" applyFont="1" applyBorder="1"/>
    <xf numFmtId="164" fontId="12" fillId="0" borderId="10" xfId="0" applyNumberFormat="1" applyFont="1" applyBorder="1"/>
    <xf numFmtId="4" fontId="0" fillId="0" borderId="11" xfId="0" applyNumberFormat="1" applyBorder="1" applyAlignment="1">
      <alignment horizontal="center"/>
    </xf>
    <xf numFmtId="0" fontId="0" fillId="0" borderId="12" xfId="0" applyBorder="1" applyAlignment="1">
      <alignment horizontal="center"/>
    </xf>
    <xf numFmtId="0" fontId="6" fillId="2" borderId="6" xfId="0" applyFont="1" applyFill="1" applyBorder="1" applyAlignment="1">
      <alignment vertical="center"/>
    </xf>
    <xf numFmtId="0" fontId="12" fillId="3" borderId="6" xfId="0" applyFont="1" applyFill="1" applyBorder="1" applyAlignment="1">
      <alignment vertical="center"/>
    </xf>
    <xf numFmtId="4" fontId="12" fillId="3" borderId="6" xfId="0" applyNumberFormat="1" applyFont="1" applyFill="1" applyBorder="1" applyAlignment="1">
      <alignment vertical="center"/>
    </xf>
    <xf numFmtId="4" fontId="14" fillId="3" borderId="9" xfId="0" applyNumberFormat="1" applyFont="1" applyFill="1" applyBorder="1" applyAlignment="1">
      <alignment vertical="center"/>
    </xf>
    <xf numFmtId="4" fontId="13" fillId="4" borderId="9" xfId="0" applyNumberFormat="1" applyFont="1" applyFill="1" applyBorder="1" applyAlignment="1">
      <alignment vertical="center"/>
    </xf>
    <xf numFmtId="4" fontId="14" fillId="4" borderId="6" xfId="0" applyNumberFormat="1" applyFont="1" applyFill="1" applyBorder="1" applyAlignment="1">
      <alignment vertical="center"/>
    </xf>
    <xf numFmtId="4" fontId="2" fillId="0" borderId="0" xfId="0" applyNumberFormat="1" applyFont="1" applyAlignment="1">
      <alignment vertical="center"/>
    </xf>
    <xf numFmtId="0" fontId="8" fillId="0" borderId="0" xfId="0" applyFont="1" applyAlignment="1">
      <alignment vertical="center"/>
    </xf>
    <xf numFmtId="4" fontId="12" fillId="4" borderId="6" xfId="0" applyNumberFormat="1" applyFont="1" applyFill="1" applyBorder="1" applyAlignment="1">
      <alignment vertical="center"/>
    </xf>
    <xf numFmtId="4" fontId="13" fillId="3" borderId="9" xfId="0" applyNumberFormat="1" applyFont="1" applyFill="1" applyBorder="1" applyAlignment="1">
      <alignment vertical="center"/>
    </xf>
    <xf numFmtId="4" fontId="6" fillId="0" borderId="11" xfId="0" applyNumberFormat="1" applyFont="1" applyBorder="1" applyAlignment="1">
      <alignment vertical="center"/>
    </xf>
    <xf numFmtId="4" fontId="0" fillId="0" borderId="12" xfId="0" applyNumberFormat="1" applyBorder="1" applyAlignment="1">
      <alignment vertical="center"/>
    </xf>
    <xf numFmtId="4" fontId="15" fillId="0" borderId="0" xfId="0" applyNumberFormat="1" applyFont="1" applyAlignment="1">
      <alignment vertical="center"/>
    </xf>
    <xf numFmtId="0" fontId="16" fillId="2" borderId="6" xfId="0" applyFont="1" applyFill="1" applyBorder="1"/>
    <xf numFmtId="4" fontId="0" fillId="0" borderId="0" xfId="0" applyNumberFormat="1" applyAlignment="1">
      <alignment vertical="center"/>
    </xf>
    <xf numFmtId="0" fontId="4" fillId="0" borderId="6" xfId="0" applyFont="1" applyBorder="1"/>
    <xf numFmtId="4" fontId="3" fillId="0" borderId="6" xfId="0" applyNumberFormat="1" applyFont="1" applyBorder="1" applyAlignment="1">
      <alignment vertical="center"/>
    </xf>
    <xf numFmtId="4" fontId="0" fillId="0" borderId="6" xfId="0" applyNumberFormat="1" applyBorder="1" applyAlignment="1">
      <alignment vertical="center"/>
    </xf>
    <xf numFmtId="0" fontId="4" fillId="2" borderId="6" xfId="0" applyFont="1" applyFill="1" applyBorder="1"/>
    <xf numFmtId="0" fontId="3" fillId="0" borderId="6" xfId="0" applyFont="1" applyBorder="1" applyAlignment="1">
      <alignment wrapText="1"/>
    </xf>
    <xf numFmtId="0" fontId="17" fillId="0" borderId="0" xfId="0" applyFont="1" applyAlignment="1">
      <alignment horizontal="right"/>
    </xf>
    <xf numFmtId="0" fontId="18" fillId="0" borderId="0" xfId="0" applyFont="1" applyAlignment="1">
      <alignment vertical="center"/>
    </xf>
    <xf numFmtId="0" fontId="4" fillId="0" borderId="8" xfId="0" applyFont="1" applyBorder="1"/>
    <xf numFmtId="0" fontId="4" fillId="0" borderId="0" xfId="0" applyFont="1"/>
    <xf numFmtId="4" fontId="9" fillId="0" borderId="2" xfId="0" applyNumberFormat="1" applyFont="1" applyBorder="1"/>
    <xf numFmtId="4" fontId="0" fillId="0" borderId="2" xfId="0" applyNumberFormat="1" applyBorder="1"/>
    <xf numFmtId="4" fontId="7" fillId="0" borderId="2" xfId="0" applyNumberFormat="1" applyFont="1" applyBorder="1"/>
    <xf numFmtId="0" fontId="9" fillId="0" borderId="0" xfId="0" applyFont="1"/>
    <xf numFmtId="0" fontId="6" fillId="0" borderId="13" xfId="0" applyFont="1" applyBorder="1"/>
    <xf numFmtId="0" fontId="7" fillId="0" borderId="2" xfId="0" applyFont="1" applyBorder="1"/>
    <xf numFmtId="4" fontId="4" fillId="0" borderId="14" xfId="0" applyNumberFormat="1" applyFont="1" applyBorder="1" applyAlignment="1">
      <alignment horizontal="center" vertical="center" wrapText="1"/>
    </xf>
    <xf numFmtId="4" fontId="4" fillId="5" borderId="10" xfId="0" applyNumberFormat="1" applyFont="1" applyFill="1" applyBorder="1"/>
    <xf numFmtId="4" fontId="0" fillId="5" borderId="10" xfId="0" applyNumberFormat="1" applyFill="1" applyBorder="1"/>
    <xf numFmtId="0" fontId="4" fillId="0" borderId="2" xfId="0" applyFont="1" applyBorder="1"/>
    <xf numFmtId="0" fontId="4" fillId="0" borderId="2" xfId="0" applyFont="1" applyBorder="1" applyAlignment="1">
      <alignment vertical="center" wrapText="1"/>
    </xf>
    <xf numFmtId="4" fontId="4" fillId="0" borderId="10" xfId="0" applyNumberFormat="1" applyFont="1" applyBorder="1" applyAlignment="1">
      <alignment shrinkToFit="1"/>
    </xf>
    <xf numFmtId="4" fontId="4" fillId="5" borderId="2" xfId="0" applyNumberFormat="1" applyFont="1" applyFill="1" applyBorder="1"/>
    <xf numFmtId="4" fontId="0" fillId="5" borderId="2" xfId="0" applyNumberFormat="1" applyFill="1" applyBorder="1"/>
    <xf numFmtId="4" fontId="4" fillId="0" borderId="0" xfId="0" applyNumberFormat="1" applyFont="1"/>
    <xf numFmtId="0" fontId="8" fillId="0" borderId="9" xfId="0" applyFont="1" applyBorder="1" applyAlignment="1">
      <alignment horizontal="right" vertical="center"/>
    </xf>
    <xf numFmtId="0" fontId="8" fillId="0" borderId="9" xfId="0" applyFont="1" applyBorder="1" applyAlignment="1">
      <alignment vertical="center"/>
    </xf>
    <xf numFmtId="4" fontId="8" fillId="0" borderId="5" xfId="0" applyNumberFormat="1" applyFont="1" applyBorder="1"/>
    <xf numFmtId="4" fontId="8" fillId="5" borderId="5" xfId="0" applyNumberFormat="1" applyFont="1" applyFill="1" applyBorder="1"/>
    <xf numFmtId="4" fontId="0" fillId="5" borderId="5" xfId="0" applyNumberFormat="1" applyFill="1" applyBorder="1"/>
    <xf numFmtId="0" fontId="8" fillId="0" borderId="6" xfId="0" applyFont="1" applyBorder="1" applyAlignment="1">
      <alignment horizontal="right" vertical="center"/>
    </xf>
    <xf numFmtId="0" fontId="8" fillId="0" borderId="6" xfId="0" applyFont="1" applyBorder="1" applyAlignment="1">
      <alignment vertical="center"/>
    </xf>
    <xf numFmtId="4" fontId="8" fillId="0" borderId="9" xfId="0" applyNumberFormat="1" applyFont="1" applyBorder="1"/>
    <xf numFmtId="4" fontId="8" fillId="5" borderId="6" xfId="0" applyNumberFormat="1" applyFont="1" applyFill="1" applyBorder="1"/>
    <xf numFmtId="4" fontId="0" fillId="5" borderId="6" xfId="0" applyNumberFormat="1" applyFill="1" applyBorder="1"/>
    <xf numFmtId="4" fontId="8" fillId="0" borderId="6" xfId="0" applyNumberFormat="1" applyFont="1" applyBorder="1"/>
    <xf numFmtId="4" fontId="8" fillId="5" borderId="6" xfId="0" applyNumberFormat="1" applyFont="1" applyFill="1" applyBorder="1" applyAlignment="1">
      <alignment vertical="center"/>
    </xf>
    <xf numFmtId="4" fontId="0" fillId="5" borderId="6" xfId="0" applyNumberFormat="1" applyFill="1" applyBorder="1" applyAlignment="1">
      <alignment vertical="center"/>
    </xf>
    <xf numFmtId="4" fontId="8" fillId="0" borderId="10" xfId="0" applyNumberFormat="1" applyFont="1" applyBorder="1"/>
    <xf numFmtId="4" fontId="8" fillId="0" borderId="9" xfId="0" applyNumberFormat="1" applyFont="1" applyBorder="1" applyAlignment="1">
      <alignment vertical="center"/>
    </xf>
    <xf numFmtId="4" fontId="8" fillId="6" borderId="6" xfId="0" applyNumberFormat="1" applyFont="1" applyFill="1" applyBorder="1"/>
    <xf numFmtId="4" fontId="0" fillId="6" borderId="6" xfId="0" applyNumberFormat="1" applyFill="1" applyBorder="1"/>
    <xf numFmtId="4" fontId="8" fillId="0" borderId="6" xfId="0" applyNumberFormat="1" applyFont="1" applyBorder="1" applyAlignment="1">
      <alignment vertical="center" shrinkToFit="1"/>
    </xf>
    <xf numFmtId="0" fontId="5" fillId="0" borderId="6" xfId="0" applyFont="1" applyBorder="1" applyAlignment="1">
      <alignment horizontal="right" vertical="center"/>
    </xf>
    <xf numFmtId="0" fontId="6" fillId="0" borderId="6" xfId="0" applyFont="1" applyBorder="1" applyAlignment="1">
      <alignment vertical="center"/>
    </xf>
    <xf numFmtId="0" fontId="6" fillId="0" borderId="6" xfId="0" applyFont="1" applyBorder="1" applyAlignment="1">
      <alignment horizontal="right" vertical="center"/>
    </xf>
    <xf numFmtId="0" fontId="8" fillId="0" borderId="6" xfId="0" applyFont="1" applyBorder="1" applyAlignment="1">
      <alignment vertical="center" wrapText="1"/>
    </xf>
    <xf numFmtId="4" fontId="8" fillId="0" borderId="6" xfId="0" applyNumberFormat="1" applyFont="1" applyBorder="1" applyAlignment="1">
      <alignment vertical="center"/>
    </xf>
    <xf numFmtId="0" fontId="6" fillId="0" borderId="6" xfId="0" applyFont="1" applyBorder="1" applyAlignment="1">
      <alignment vertical="center" wrapText="1"/>
    </xf>
    <xf numFmtId="4" fontId="0" fillId="0" borderId="9" xfId="0" applyNumberFormat="1" applyBorder="1" applyAlignment="1">
      <alignment vertical="center" shrinkToFit="1"/>
    </xf>
    <xf numFmtId="0" fontId="5" fillId="2" borderId="6" xfId="0" applyFont="1" applyFill="1" applyBorder="1" applyAlignment="1">
      <alignment horizontal="right" vertical="center"/>
    </xf>
    <xf numFmtId="0" fontId="6" fillId="2" borderId="0" xfId="0" applyFont="1" applyFill="1"/>
    <xf numFmtId="0" fontId="6" fillId="7" borderId="0" xfId="0" applyFont="1" applyFill="1"/>
    <xf numFmtId="0" fontId="1" fillId="0" borderId="6" xfId="0" applyFont="1" applyBorder="1" applyAlignment="1">
      <alignment horizontal="right" vertical="center"/>
    </xf>
    <xf numFmtId="0" fontId="8" fillId="0" borderId="8" xfId="0" applyFont="1" applyBorder="1" applyAlignment="1">
      <alignment horizontal="right" vertical="center"/>
    </xf>
    <xf numFmtId="0" fontId="8" fillId="0" borderId="8" xfId="0" applyFont="1" applyBorder="1" applyAlignment="1">
      <alignment vertical="center"/>
    </xf>
    <xf numFmtId="4" fontId="8" fillId="0" borderId="14" xfId="0" applyNumberFormat="1" applyFont="1" applyBorder="1" applyAlignment="1">
      <alignment vertical="center"/>
    </xf>
    <xf numFmtId="4" fontId="8" fillId="0" borderId="7" xfId="0" applyNumberFormat="1" applyFont="1" applyBorder="1" applyAlignment="1">
      <alignment vertical="center"/>
    </xf>
    <xf numFmtId="4" fontId="0" fillId="0" borderId="7" xfId="0" applyNumberFormat="1" applyBorder="1" applyAlignment="1">
      <alignment vertical="center"/>
    </xf>
    <xf numFmtId="4" fontId="8" fillId="0" borderId="10" xfId="0" applyNumberFormat="1" applyFont="1" applyBorder="1" applyAlignment="1">
      <alignment vertical="center"/>
    </xf>
    <xf numFmtId="4" fontId="4" fillId="0" borderId="2" xfId="0" applyNumberFormat="1" applyFont="1" applyBorder="1"/>
    <xf numFmtId="4" fontId="4" fillId="0" borderId="2" xfId="0" applyNumberFormat="1" applyFont="1" applyBorder="1" applyAlignment="1">
      <alignment vertical="center"/>
    </xf>
    <xf numFmtId="4" fontId="6" fillId="0" borderId="2" xfId="0" applyNumberFormat="1" applyFont="1" applyBorder="1" applyAlignment="1">
      <alignment vertical="center"/>
    </xf>
    <xf numFmtId="0" fontId="8" fillId="2" borderId="9" xfId="0" applyFont="1" applyFill="1" applyBorder="1" applyAlignment="1">
      <alignment vertical="center"/>
    </xf>
    <xf numFmtId="4" fontId="8" fillId="0" borderId="5" xfId="0" applyNumberFormat="1" applyFont="1" applyBorder="1" applyAlignment="1">
      <alignment vertical="center"/>
    </xf>
    <xf numFmtId="0" fontId="8" fillId="5" borderId="6" xfId="0" applyFont="1" applyFill="1" applyBorder="1" applyAlignment="1">
      <alignment vertical="center"/>
    </xf>
    <xf numFmtId="0" fontId="0" fillId="0" borderId="6" xfId="0" applyBorder="1"/>
    <xf numFmtId="4" fontId="0" fillId="0" borderId="0" xfId="0" applyNumberFormat="1"/>
    <xf numFmtId="0" fontId="8" fillId="2" borderId="6" xfId="0" applyFont="1" applyFill="1" applyBorder="1" applyAlignment="1">
      <alignment vertical="center"/>
    </xf>
    <xf numFmtId="0" fontId="8" fillId="2" borderId="7" xfId="0" applyFont="1" applyFill="1" applyBorder="1" applyAlignment="1">
      <alignment vertical="center"/>
    </xf>
    <xf numFmtId="0" fontId="8" fillId="0" borderId="7" xfId="0" applyFont="1" applyBorder="1" applyAlignment="1">
      <alignment vertical="center" wrapText="1"/>
    </xf>
    <xf numFmtId="4" fontId="8" fillId="5" borderId="6" xfId="0" applyNumberFormat="1" applyFont="1" applyFill="1" applyBorder="1" applyAlignment="1">
      <alignment horizontal="right" vertical="center"/>
    </xf>
    <xf numFmtId="4" fontId="21" fillId="0" borderId="6" xfId="0" applyNumberFormat="1" applyFont="1" applyBorder="1"/>
    <xf numFmtId="0" fontId="8" fillId="0" borderId="9" xfId="0" applyFont="1" applyBorder="1" applyAlignment="1">
      <alignment vertical="center" wrapText="1"/>
    </xf>
    <xf numFmtId="4" fontId="0" fillId="5" borderId="9" xfId="0" applyNumberFormat="1" applyFill="1" applyBorder="1" applyAlignment="1">
      <alignment vertical="center"/>
    </xf>
    <xf numFmtId="4" fontId="0" fillId="0" borderId="15" xfId="0" applyNumberFormat="1" applyBorder="1"/>
    <xf numFmtId="0" fontId="0" fillId="0" borderId="6" xfId="0" applyBorder="1" applyAlignment="1">
      <alignment vertical="center" wrapText="1"/>
    </xf>
    <xf numFmtId="0" fontId="8" fillId="2" borderId="6" xfId="0" applyFont="1" applyFill="1" applyBorder="1" applyAlignment="1">
      <alignment horizontal="right" vertical="center"/>
    </xf>
    <xf numFmtId="4" fontId="6" fillId="0" borderId="6" xfId="0" applyNumberFormat="1" applyFont="1" applyBorder="1" applyAlignment="1">
      <alignment vertical="center"/>
    </xf>
    <xf numFmtId="0" fontId="6" fillId="2" borderId="6" xfId="0" applyFont="1" applyFill="1" applyBorder="1" applyAlignment="1">
      <alignment horizontal="right" vertical="center"/>
    </xf>
    <xf numFmtId="0" fontId="6" fillId="5" borderId="16" xfId="0" applyFont="1" applyFill="1" applyBorder="1" applyAlignment="1">
      <alignment vertical="center"/>
    </xf>
    <xf numFmtId="0" fontId="6" fillId="5" borderId="6" xfId="0" applyFont="1" applyFill="1" applyBorder="1" applyAlignment="1">
      <alignment vertical="center"/>
    </xf>
    <xf numFmtId="0" fontId="8" fillId="5" borderId="16" xfId="0" applyFont="1" applyFill="1" applyBorder="1" applyAlignment="1">
      <alignment vertical="center"/>
    </xf>
    <xf numFmtId="0" fontId="7" fillId="0" borderId="0" xfId="0" applyFont="1" applyAlignment="1">
      <alignment vertical="center"/>
    </xf>
    <xf numFmtId="4" fontId="6" fillId="0" borderId="6" xfId="0" applyNumberFormat="1" applyFont="1" applyBorder="1" applyAlignment="1">
      <alignment shrinkToFit="1"/>
    </xf>
    <xf numFmtId="0" fontId="0" fillId="0" borderId="6" xfId="0" applyBorder="1" applyAlignment="1">
      <alignment vertical="center"/>
    </xf>
    <xf numFmtId="0" fontId="6" fillId="2" borderId="6" xfId="0" applyFont="1" applyFill="1" applyBorder="1"/>
    <xf numFmtId="0" fontId="6" fillId="0" borderId="6" xfId="0" applyFont="1" applyBorder="1" applyAlignment="1">
      <alignment wrapText="1"/>
    </xf>
    <xf numFmtId="0" fontId="6" fillId="0" borderId="0" xfId="0" applyFont="1" applyAlignment="1">
      <alignment vertical="center"/>
    </xf>
    <xf numFmtId="0" fontId="0" fillId="0" borderId="9" xfId="0" applyBorder="1" applyAlignment="1">
      <alignment vertical="center"/>
    </xf>
    <xf numFmtId="4" fontId="6" fillId="0" borderId="0" xfId="0" applyNumberFormat="1" applyFont="1" applyAlignment="1">
      <alignment horizontal="right" vertical="center"/>
    </xf>
    <xf numFmtId="0" fontId="8" fillId="0" borderId="8" xfId="0" applyFont="1" applyBorder="1"/>
    <xf numFmtId="4" fontId="0" fillId="0" borderId="8" xfId="0" applyNumberFormat="1" applyBorder="1" applyAlignment="1">
      <alignment vertical="center"/>
    </xf>
    <xf numFmtId="4" fontId="0" fillId="0" borderId="10" xfId="0" applyNumberFormat="1" applyBorder="1" applyAlignment="1">
      <alignment vertical="center"/>
    </xf>
    <xf numFmtId="0" fontId="4" fillId="2" borderId="14" xfId="0" applyFont="1" applyFill="1" applyBorder="1"/>
    <xf numFmtId="0" fontId="4" fillId="0" borderId="14" xfId="0" applyFont="1" applyBorder="1"/>
    <xf numFmtId="4" fontId="4" fillId="0" borderId="14" xfId="0" applyNumberFormat="1" applyFont="1" applyBorder="1"/>
    <xf numFmtId="0" fontId="8" fillId="0" borderId="5" xfId="0" applyFont="1" applyBorder="1" applyAlignment="1">
      <alignment vertical="center" wrapText="1"/>
    </xf>
    <xf numFmtId="0" fontId="8" fillId="0" borderId="0" xfId="0" applyFont="1" applyAlignment="1">
      <alignment horizontal="right" vertical="center"/>
    </xf>
    <xf numFmtId="4" fontId="8" fillId="0" borderId="6" xfId="0" applyNumberFormat="1" applyFont="1" applyBorder="1" applyAlignment="1">
      <alignment shrinkToFit="1"/>
    </xf>
    <xf numFmtId="0" fontId="6" fillId="0" borderId="7" xfId="0" applyFont="1" applyBorder="1" applyAlignment="1">
      <alignment vertical="center"/>
    </xf>
    <xf numFmtId="0" fontId="8" fillId="0" borderId="7" xfId="0" applyFont="1" applyBorder="1" applyAlignment="1">
      <alignment vertical="center"/>
    </xf>
    <xf numFmtId="0" fontId="18" fillId="0" borderId="6" xfId="0" applyFont="1" applyBorder="1" applyAlignment="1">
      <alignment vertical="center"/>
    </xf>
    <xf numFmtId="4" fontId="0" fillId="0" borderId="14" xfId="0" applyNumberFormat="1" applyBorder="1" applyAlignment="1">
      <alignment vertical="center"/>
    </xf>
    <xf numFmtId="4" fontId="0" fillId="0" borderId="17" xfId="0" applyNumberFormat="1" applyBorder="1" applyAlignment="1">
      <alignment vertical="center"/>
    </xf>
    <xf numFmtId="0" fontId="4" fillId="2" borderId="2" xfId="0" applyFont="1" applyFill="1" applyBorder="1"/>
    <xf numFmtId="4" fontId="4" fillId="0" borderId="18" xfId="0" applyNumberFormat="1" applyFont="1" applyBorder="1"/>
    <xf numFmtId="0" fontId="8" fillId="5" borderId="9" xfId="0" applyFont="1" applyFill="1" applyBorder="1"/>
    <xf numFmtId="4" fontId="8" fillId="5" borderId="9" xfId="0" applyNumberFormat="1" applyFont="1" applyFill="1" applyBorder="1"/>
    <xf numFmtId="4" fontId="0" fillId="0" borderId="5" xfId="0" applyNumberFormat="1" applyBorder="1" applyAlignment="1">
      <alignment vertical="center"/>
    </xf>
    <xf numFmtId="4" fontId="0" fillId="0" borderId="0" xfId="0" applyNumberFormat="1"/>
    <xf numFmtId="0" fontId="0" fillId="5" borderId="9" xfId="0" applyFill="1" applyBorder="1"/>
    <xf numFmtId="4" fontId="0" fillId="5" borderId="9" xfId="0" applyNumberFormat="1" applyFill="1" applyBorder="1"/>
    <xf numFmtId="4" fontId="0" fillId="0" borderId="0" xfId="0" applyNumberFormat="1" applyAlignment="1">
      <alignment horizontal="right"/>
    </xf>
    <xf numFmtId="4" fontId="0" fillId="0" borderId="6" xfId="0" applyNumberFormat="1" applyBorder="1" applyAlignment="1">
      <alignment horizontal="right" vertical="center"/>
    </xf>
    <xf numFmtId="4" fontId="6" fillId="0" borderId="7" xfId="0" applyNumberFormat="1" applyFont="1" applyBorder="1" applyAlignment="1">
      <alignment vertical="center"/>
    </xf>
    <xf numFmtId="0" fontId="8" fillId="0" borderId="16" xfId="0" applyFont="1" applyBorder="1" applyAlignment="1">
      <alignment vertical="center"/>
    </xf>
    <xf numFmtId="0" fontId="1" fillId="2" borderId="6" xfId="0" applyFont="1" applyFill="1" applyBorder="1" applyAlignment="1">
      <alignment horizontal="right" vertical="center"/>
    </xf>
    <xf numFmtId="0" fontId="0" fillId="2" borderId="6" xfId="0" applyFill="1" applyBorder="1" applyAlignment="1">
      <alignment vertical="center"/>
    </xf>
    <xf numFmtId="0" fontId="0" fillId="0" borderId="16" xfId="0" applyBorder="1" applyAlignment="1">
      <alignment vertical="center"/>
    </xf>
    <xf numFmtId="0" fontId="8" fillId="0" borderId="16" xfId="0" applyFont="1" applyBorder="1" applyAlignment="1">
      <alignment vertical="center" wrapText="1"/>
    </xf>
    <xf numFmtId="4" fontId="8" fillId="0" borderId="6" xfId="2" applyNumberFormat="1" applyFont="1" applyFill="1" applyBorder="1" applyAlignment="1" applyProtection="1">
      <alignment vertical="center"/>
    </xf>
    <xf numFmtId="4" fontId="6" fillId="0" borderId="10" xfId="0" applyNumberFormat="1" applyFont="1" applyBorder="1" applyAlignment="1">
      <alignment shrinkToFit="1"/>
    </xf>
    <xf numFmtId="0" fontId="8" fillId="2" borderId="8" xfId="0" applyFont="1" applyFill="1" applyBorder="1" applyAlignment="1">
      <alignment vertical="center"/>
    </xf>
    <xf numFmtId="0" fontId="6" fillId="0" borderId="7" xfId="0" applyFont="1" applyBorder="1" applyAlignment="1">
      <alignment vertical="center" wrapText="1"/>
    </xf>
    <xf numFmtId="4" fontId="8" fillId="0" borderId="8" xfId="0" applyNumberFormat="1" applyFont="1" applyBorder="1" applyAlignment="1">
      <alignment vertical="center"/>
    </xf>
    <xf numFmtId="0" fontId="7" fillId="2" borderId="2" xfId="0" applyFont="1" applyFill="1" applyBorder="1"/>
    <xf numFmtId="4" fontId="7" fillId="0" borderId="2" xfId="0" applyNumberFormat="1" applyFont="1" applyBorder="1" applyAlignment="1">
      <alignment vertical="center" shrinkToFit="1"/>
    </xf>
    <xf numFmtId="4" fontId="7" fillId="0" borderId="2" xfId="0" applyNumberFormat="1" applyFont="1" applyBorder="1" applyAlignment="1">
      <alignment vertical="center"/>
    </xf>
    <xf numFmtId="4" fontId="0" fillId="0" borderId="2" xfId="0" applyNumberFormat="1" applyBorder="1" applyAlignment="1">
      <alignment vertical="center"/>
    </xf>
    <xf numFmtId="4" fontId="7" fillId="5" borderId="2" xfId="0" applyNumberFormat="1" applyFont="1" applyFill="1" applyBorder="1"/>
    <xf numFmtId="0" fontId="8" fillId="2" borderId="10" xfId="0" applyFont="1" applyFill="1" applyBorder="1"/>
    <xf numFmtId="0" fontId="4" fillId="0" borderId="10" xfId="0" applyFont="1" applyBorder="1"/>
    <xf numFmtId="0" fontId="8" fillId="2" borderId="2" xfId="0" applyFont="1" applyFill="1" applyBorder="1"/>
    <xf numFmtId="4" fontId="4" fillId="0" borderId="2" xfId="0" applyNumberFormat="1" applyFont="1" applyBorder="1" applyAlignment="1">
      <alignment shrinkToFi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0" fontId="23" fillId="0" borderId="0" xfId="0" applyFont="1"/>
    <xf numFmtId="0" fontId="0" fillId="0" borderId="16" xfId="0" applyBorder="1" applyAlignment="1">
      <alignment vertical="center" wrapText="1"/>
    </xf>
    <xf numFmtId="0" fontId="24" fillId="0" borderId="0" xfId="0" applyFont="1"/>
    <xf numFmtId="0" fontId="8" fillId="0" borderId="11" xfId="0" applyFont="1" applyBorder="1" applyAlignment="1">
      <alignment vertical="center" wrapText="1"/>
    </xf>
    <xf numFmtId="4" fontId="8" fillId="5" borderId="9" xfId="0" applyNumberFormat="1" applyFont="1" applyFill="1" applyBorder="1" applyAlignment="1">
      <alignment vertical="center"/>
    </xf>
    <xf numFmtId="4" fontId="8" fillId="0" borderId="0" xfId="0" applyNumberFormat="1" applyFont="1" applyAlignment="1">
      <alignment vertical="center"/>
    </xf>
    <xf numFmtId="0" fontId="6" fillId="2" borderId="10" xfId="0" applyFont="1" applyFill="1" applyBorder="1" applyAlignment="1">
      <alignment vertical="center"/>
    </xf>
    <xf numFmtId="0" fontId="6" fillId="0" borderId="21" xfId="0" applyFont="1" applyBorder="1" applyAlignment="1">
      <alignment vertical="center"/>
    </xf>
    <xf numFmtId="0" fontId="23" fillId="2" borderId="2" xfId="0" applyFont="1" applyFill="1" applyBorder="1"/>
    <xf numFmtId="4" fontId="9" fillId="0" borderId="2" xfId="0" applyNumberFormat="1" applyFont="1" applyBorder="1" applyAlignment="1">
      <alignment vertical="center"/>
    </xf>
    <xf numFmtId="4" fontId="9" fillId="5" borderId="2" xfId="0" applyNumberFormat="1" applyFont="1" applyFill="1" applyBorder="1"/>
    <xf numFmtId="0" fontId="16" fillId="0" borderId="0" xfId="0" applyFont="1"/>
    <xf numFmtId="0" fontId="6" fillId="2" borderId="2" xfId="0" applyFont="1" applyFill="1" applyBorder="1"/>
    <xf numFmtId="4" fontId="8" fillId="0" borderId="2" xfId="0" applyNumberFormat="1" applyFont="1" applyBorder="1" applyAlignment="1">
      <alignment vertical="center"/>
    </xf>
    <xf numFmtId="0" fontId="16" fillId="2" borderId="2" xfId="0" applyFont="1" applyFill="1" applyBorder="1"/>
    <xf numFmtId="4" fontId="3" fillId="0" borderId="2" xfId="0" applyNumberFormat="1" applyFont="1" applyBorder="1"/>
    <xf numFmtId="4" fontId="3" fillId="0" borderId="2" xfId="0" applyNumberFormat="1" applyFont="1" applyBorder="1" applyAlignment="1">
      <alignment vertical="center"/>
    </xf>
    <xf numFmtId="4" fontId="3" fillId="5" borderId="2" xfId="0" applyNumberFormat="1" applyFont="1" applyFill="1" applyBorder="1"/>
    <xf numFmtId="0" fontId="4" fillId="2" borderId="2" xfId="0" applyFont="1" applyFill="1" applyBorder="1" applyAlignment="1">
      <alignment vertical="center"/>
    </xf>
    <xf numFmtId="0" fontId="4" fillId="0" borderId="2" xfId="0" applyFont="1" applyBorder="1" applyAlignment="1">
      <alignment vertical="center"/>
    </xf>
    <xf numFmtId="0" fontId="8" fillId="2" borderId="5" xfId="0" applyFont="1" applyFill="1" applyBorder="1" applyAlignment="1">
      <alignment horizontal="right" vertical="center"/>
    </xf>
    <xf numFmtId="0" fontId="8" fillId="0" borderId="5" xfId="0" applyFont="1" applyBorder="1" applyAlignment="1">
      <alignment vertical="center"/>
    </xf>
    <xf numFmtId="0" fontId="2" fillId="2" borderId="6" xfId="0" applyFont="1" applyFill="1" applyBorder="1" applyAlignment="1">
      <alignment horizontal="right" vertical="center"/>
    </xf>
    <xf numFmtId="0" fontId="5" fillId="0" borderId="6" xfId="0" applyFont="1" applyBorder="1" applyAlignment="1">
      <alignment vertical="center"/>
    </xf>
    <xf numFmtId="0" fontId="8" fillId="2" borderId="9" xfId="0" applyFont="1" applyFill="1" applyBorder="1" applyAlignment="1">
      <alignment horizontal="right" vertical="center"/>
    </xf>
    <xf numFmtId="0" fontId="4" fillId="2" borderId="2" xfId="0" applyFont="1" applyFill="1" applyBorder="1" applyAlignment="1">
      <alignment horizontal="right"/>
    </xf>
    <xf numFmtId="0" fontId="8" fillId="2" borderId="10" xfId="0" applyFont="1" applyFill="1" applyBorder="1" applyAlignment="1">
      <alignment horizontal="right" vertical="center"/>
    </xf>
    <xf numFmtId="0" fontId="8" fillId="0" borderId="20" xfId="0" applyFont="1" applyBorder="1" applyAlignment="1">
      <alignment vertical="center"/>
    </xf>
    <xf numFmtId="0" fontId="0" fillId="2" borderId="6" xfId="0" applyFill="1" applyBorder="1" applyAlignment="1">
      <alignment horizontal="right" vertical="center"/>
    </xf>
    <xf numFmtId="0" fontId="0" fillId="0" borderId="11" xfId="0" applyBorder="1" applyAlignment="1">
      <alignment vertical="center"/>
    </xf>
    <xf numFmtId="0" fontId="2" fillId="0" borderId="6" xfId="0" applyFont="1" applyBorder="1" applyAlignment="1">
      <alignment horizontal="right" vertical="center"/>
    </xf>
    <xf numFmtId="0" fontId="6" fillId="0" borderId="22" xfId="0" applyFont="1" applyBorder="1" applyAlignment="1">
      <alignment vertical="center"/>
    </xf>
    <xf numFmtId="4" fontId="0" fillId="0" borderId="23" xfId="0" applyNumberFormat="1" applyBorder="1" applyAlignment="1">
      <alignment vertical="center"/>
    </xf>
    <xf numFmtId="0" fontId="6" fillId="0" borderId="16" xfId="0" applyFont="1" applyBorder="1" applyAlignment="1">
      <alignment vertical="center"/>
    </xf>
    <xf numFmtId="4" fontId="25" fillId="0" borderId="9" xfId="0" applyNumberFormat="1" applyFont="1" applyBorder="1" applyAlignment="1">
      <alignment vertical="center"/>
    </xf>
    <xf numFmtId="4" fontId="17" fillId="0" borderId="6" xfId="0" applyNumberFormat="1" applyFont="1" applyBorder="1" applyAlignment="1">
      <alignment vertical="center"/>
    </xf>
    <xf numFmtId="4" fontId="25" fillId="0" borderId="6" xfId="0" applyNumberFormat="1" applyFont="1" applyBorder="1" applyAlignment="1">
      <alignment vertical="center"/>
    </xf>
    <xf numFmtId="0" fontId="0" fillId="0" borderId="22" xfId="0" applyBorder="1" applyAlignment="1">
      <alignment vertical="center"/>
    </xf>
    <xf numFmtId="0" fontId="2" fillId="2" borderId="7" xfId="0" applyFont="1" applyFill="1" applyBorder="1" applyAlignment="1">
      <alignment horizontal="right" vertical="center"/>
    </xf>
    <xf numFmtId="0" fontId="2" fillId="2" borderId="9" xfId="0" applyFont="1" applyFill="1" applyBorder="1" applyAlignment="1">
      <alignment horizontal="right" vertical="center"/>
    </xf>
    <xf numFmtId="0" fontId="2" fillId="2" borderId="8" xfId="0" applyFont="1" applyFill="1" applyBorder="1" applyAlignment="1">
      <alignment horizontal="right" vertical="center"/>
    </xf>
    <xf numFmtId="0" fontId="6" fillId="0" borderId="8" xfId="0" applyFont="1" applyBorder="1" applyAlignment="1">
      <alignment vertical="center"/>
    </xf>
    <xf numFmtId="4" fontId="25" fillId="0" borderId="8" xfId="0" applyNumberFormat="1" applyFont="1" applyBorder="1" applyAlignment="1">
      <alignment vertical="center"/>
    </xf>
    <xf numFmtId="4" fontId="26" fillId="0" borderId="14" xfId="0" applyNumberFormat="1" applyFont="1" applyBorder="1"/>
    <xf numFmtId="4" fontId="4" fillId="5" borderId="2" xfId="0" applyNumberFormat="1" applyFont="1" applyFill="1" applyBorder="1" applyAlignment="1">
      <alignment vertical="center"/>
    </xf>
    <xf numFmtId="4" fontId="0" fillId="5" borderId="2" xfId="0" applyNumberFormat="1" applyFill="1" applyBorder="1" applyAlignment="1">
      <alignment vertical="center"/>
    </xf>
    <xf numFmtId="0" fontId="8" fillId="2" borderId="5" xfId="0" applyFont="1" applyFill="1" applyBorder="1" applyAlignment="1">
      <alignment vertical="center"/>
    </xf>
    <xf numFmtId="4" fontId="17" fillId="0" borderId="5" xfId="0" applyNumberFormat="1" applyFont="1" applyBorder="1" applyAlignment="1">
      <alignment vertical="center"/>
    </xf>
    <xf numFmtId="0" fontId="2" fillId="2" borderId="10" xfId="0" applyFont="1" applyFill="1" applyBorder="1" applyAlignment="1">
      <alignment horizontal="right" vertical="center"/>
    </xf>
    <xf numFmtId="4" fontId="6" fillId="0" borderId="6" xfId="1" applyNumberFormat="1" applyFont="1" applyFill="1" applyBorder="1" applyAlignment="1">
      <alignment vertical="center"/>
    </xf>
    <xf numFmtId="4" fontId="0" fillId="0" borderId="6" xfId="1" applyNumberFormat="1" applyFont="1" applyFill="1" applyBorder="1" applyAlignment="1">
      <alignment vertical="center"/>
    </xf>
    <xf numFmtId="4" fontId="26" fillId="0" borderId="2" xfId="0" applyNumberFormat="1" applyFont="1" applyBorder="1"/>
    <xf numFmtId="0" fontId="0" fillId="0" borderId="11" xfId="0" applyBorder="1" applyAlignment="1">
      <alignment horizontal="left" vertical="center"/>
    </xf>
    <xf numFmtId="0" fontId="0" fillId="0" borderId="16" xfId="0" applyBorder="1" applyAlignment="1">
      <alignment horizontal="left" vertical="center"/>
    </xf>
    <xf numFmtId="0" fontId="6" fillId="0" borderId="11" xfId="0" applyFont="1" applyBorder="1" applyAlignment="1">
      <alignment vertical="center"/>
    </xf>
    <xf numFmtId="0" fontId="0" fillId="0" borderId="21" xfId="0" applyBorder="1" applyAlignment="1">
      <alignment vertical="center"/>
    </xf>
    <xf numFmtId="4" fontId="0" fillId="0" borderId="16" xfId="0" applyNumberFormat="1" applyBorder="1" applyAlignment="1">
      <alignment horizontal="right" vertical="center"/>
    </xf>
    <xf numFmtId="4" fontId="0" fillId="0" borderId="16" xfId="0" applyNumberFormat="1" applyBorder="1" applyAlignment="1">
      <alignment vertical="center"/>
    </xf>
    <xf numFmtId="4" fontId="6" fillId="5" borderId="6" xfId="0" applyNumberFormat="1" applyFont="1" applyFill="1" applyBorder="1" applyAlignment="1">
      <alignment vertical="center"/>
    </xf>
    <xf numFmtId="0" fontId="6" fillId="0" borderId="16" xfId="0" applyFont="1" applyBorder="1" applyAlignment="1">
      <alignment vertical="center" wrapText="1"/>
    </xf>
    <xf numFmtId="4" fontId="6" fillId="0" borderId="8" xfId="0" applyNumberFormat="1" applyFont="1" applyBorder="1" applyAlignment="1">
      <alignment vertical="center"/>
    </xf>
    <xf numFmtId="0" fontId="16" fillId="2" borderId="2" xfId="0" applyFont="1" applyFill="1" applyBorder="1" applyAlignment="1">
      <alignment horizontal="right"/>
    </xf>
    <xf numFmtId="4" fontId="7" fillId="0" borderId="13" xfId="0" applyNumberFormat="1" applyFont="1" applyBorder="1"/>
    <xf numFmtId="0" fontId="8" fillId="0" borderId="2" xfId="0" applyFont="1" applyBorder="1" applyAlignment="1">
      <alignment horizontal="right" vertical="center"/>
    </xf>
    <xf numFmtId="0" fontId="4" fillId="0" borderId="18" xfId="0" applyFont="1" applyBorder="1" applyAlignment="1">
      <alignment vertical="center"/>
    </xf>
    <xf numFmtId="0" fontId="8" fillId="0" borderId="5" xfId="0" applyFont="1" applyBorder="1" applyAlignment="1">
      <alignment horizontal="right" vertical="center"/>
    </xf>
    <xf numFmtId="0" fontId="6" fillId="0" borderId="9" xfId="0" applyFont="1" applyBorder="1" applyAlignment="1">
      <alignment vertical="center"/>
    </xf>
    <xf numFmtId="0" fontId="2" fillId="0" borderId="10" xfId="0" applyFont="1" applyBorder="1" applyAlignment="1">
      <alignment horizontal="right" vertical="center"/>
    </xf>
    <xf numFmtId="0" fontId="6" fillId="0" borderId="24" xfId="0" applyFont="1" applyBorder="1" applyAlignment="1">
      <alignment vertical="center"/>
    </xf>
    <xf numFmtId="0" fontId="4" fillId="0" borderId="13" xfId="0" applyFont="1" applyBorder="1" applyAlignment="1">
      <alignment horizontal="right"/>
    </xf>
    <xf numFmtId="0" fontId="4" fillId="0" borderId="25" xfId="0" applyFont="1" applyBorder="1"/>
    <xf numFmtId="0" fontId="8" fillId="0" borderId="26" xfId="0" applyFont="1" applyBorder="1" applyAlignment="1">
      <alignment vertical="center"/>
    </xf>
    <xf numFmtId="4" fontId="8" fillId="0" borderId="5" xfId="0" applyNumberFormat="1" applyFont="1" applyBorder="1" applyAlignment="1">
      <alignment shrinkToFit="1"/>
    </xf>
    <xf numFmtId="4" fontId="0" fillId="0" borderId="5" xfId="0" applyNumberFormat="1" applyBorder="1" applyAlignment="1">
      <alignment shrinkToFit="1"/>
    </xf>
    <xf numFmtId="0" fontId="2" fillId="0" borderId="9" xfId="0" applyFont="1" applyBorder="1" applyAlignment="1">
      <alignment horizontal="right" vertical="center"/>
    </xf>
    <xf numFmtId="0" fontId="6" fillId="0" borderId="12" xfId="0" applyFont="1" applyBorder="1" applyAlignment="1">
      <alignment vertical="center"/>
    </xf>
    <xf numFmtId="4" fontId="0" fillId="6" borderId="23" xfId="0" applyNumberFormat="1" applyFill="1" applyBorder="1" applyAlignment="1">
      <alignment vertical="center"/>
    </xf>
    <xf numFmtId="4" fontId="0" fillId="0" borderId="27" xfId="0" applyNumberFormat="1" applyBorder="1" applyAlignment="1">
      <alignment vertical="center"/>
    </xf>
    <xf numFmtId="0" fontId="8" fillId="0" borderId="22" xfId="0" applyFont="1" applyBorder="1" applyAlignment="1">
      <alignment vertical="center"/>
    </xf>
    <xf numFmtId="4" fontId="0" fillId="0" borderId="28" xfId="0" applyNumberFormat="1" applyBorder="1" applyAlignment="1">
      <alignment vertical="center"/>
    </xf>
    <xf numFmtId="0" fontId="2" fillId="0" borderId="6" xfId="0"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2" fillId="0" borderId="7" xfId="0" applyFont="1" applyBorder="1" applyAlignment="1">
      <alignment horizontal="right" vertical="center"/>
    </xf>
    <xf numFmtId="0" fontId="0" fillId="0" borderId="23" xfId="0" applyBorder="1" applyAlignment="1">
      <alignment vertical="center"/>
    </xf>
    <xf numFmtId="4" fontId="0" fillId="6" borderId="23" xfId="0" applyNumberFormat="1" applyFill="1" applyBorder="1"/>
    <xf numFmtId="0" fontId="8" fillId="0" borderId="12" xfId="0" applyFont="1" applyBorder="1" applyAlignment="1">
      <alignment vertical="center"/>
    </xf>
    <xf numFmtId="0" fontId="2" fillId="0" borderId="14" xfId="0" applyFont="1" applyBorder="1" applyAlignment="1">
      <alignment horizontal="right" vertical="center"/>
    </xf>
    <xf numFmtId="0" fontId="0" fillId="0" borderId="29" xfId="0" applyBorder="1" applyAlignment="1">
      <alignment vertical="center"/>
    </xf>
    <xf numFmtId="0" fontId="4" fillId="0" borderId="14" xfId="0" applyFont="1" applyBorder="1" applyAlignment="1">
      <alignment horizontal="right"/>
    </xf>
    <xf numFmtId="0" fontId="0" fillId="0" borderId="7" xfId="0" applyBorder="1" applyAlignment="1">
      <alignment vertical="center" wrapText="1"/>
    </xf>
    <xf numFmtId="0" fontId="4" fillId="0" borderId="2" xfId="0" applyFont="1" applyBorder="1" applyAlignment="1">
      <alignment horizontal="right"/>
    </xf>
    <xf numFmtId="0" fontId="0" fillId="0" borderId="8" xfId="0" applyBorder="1" applyAlignment="1">
      <alignment vertical="center"/>
    </xf>
    <xf numFmtId="0" fontId="0" fillId="0" borderId="8" xfId="0" applyBorder="1" applyAlignment="1">
      <alignment vertical="center" wrapText="1"/>
    </xf>
    <xf numFmtId="0" fontId="28" fillId="0" borderId="6" xfId="0" applyFont="1" applyBorder="1" applyAlignment="1">
      <alignment horizontal="right" vertical="center"/>
    </xf>
    <xf numFmtId="4" fontId="4" fillId="0" borderId="30" xfId="0" applyNumberFormat="1" applyFont="1" applyBorder="1"/>
    <xf numFmtId="4" fontId="0" fillId="6" borderId="16" xfId="0" applyNumberFormat="1" applyFill="1" applyBorder="1" applyAlignment="1">
      <alignment vertical="center"/>
    </xf>
    <xf numFmtId="4" fontId="8" fillId="0" borderId="16" xfId="0" applyNumberFormat="1" applyFont="1" applyBorder="1" applyAlignment="1">
      <alignment horizontal="right" vertical="center"/>
    </xf>
    <xf numFmtId="4" fontId="0" fillId="5" borderId="16" xfId="0" applyNumberFormat="1" applyFill="1" applyBorder="1" applyAlignment="1">
      <alignment vertical="center"/>
    </xf>
    <xf numFmtId="0" fontId="2" fillId="0" borderId="6" xfId="0" applyFont="1" applyBorder="1" applyAlignment="1" applyProtection="1">
      <alignment horizontal="right" vertical="center"/>
      <protection locked="0"/>
    </xf>
    <xf numFmtId="0" fontId="0" fillId="0" borderId="6" xfId="0" applyBorder="1" applyAlignment="1" applyProtection="1">
      <alignment vertical="center"/>
      <protection locked="0"/>
    </xf>
    <xf numFmtId="0" fontId="0" fillId="0" borderId="14" xfId="0" applyBorder="1" applyAlignment="1">
      <alignment vertical="center"/>
    </xf>
    <xf numFmtId="4" fontId="0" fillId="5" borderId="7" xfId="0" applyNumberFormat="1" applyFill="1" applyBorder="1"/>
    <xf numFmtId="0" fontId="8" fillId="2" borderId="2" xfId="0" applyFont="1" applyFill="1" applyBorder="1" applyAlignment="1">
      <alignment horizontal="right" vertical="center"/>
    </xf>
    <xf numFmtId="0" fontId="7" fillId="0" borderId="2" xfId="0" applyFont="1" applyBorder="1" applyAlignment="1">
      <alignment vertical="center"/>
    </xf>
    <xf numFmtId="4" fontId="7" fillId="0" borderId="14" xfId="0" applyNumberFormat="1" applyFont="1" applyBorder="1" applyAlignment="1">
      <alignment vertical="center"/>
    </xf>
    <xf numFmtId="4" fontId="0" fillId="0" borderId="18" xfId="0" applyNumberFormat="1" applyBorder="1" applyAlignment="1">
      <alignment vertical="center"/>
    </xf>
    <xf numFmtId="0" fontId="1" fillId="2" borderId="9" xfId="0" applyFont="1" applyFill="1" applyBorder="1" applyAlignment="1">
      <alignment horizontal="right" vertical="center"/>
    </xf>
    <xf numFmtId="4" fontId="8" fillId="0" borderId="11" xfId="0" applyNumberFormat="1" applyFont="1" applyBorder="1" applyAlignment="1">
      <alignment vertical="center"/>
    </xf>
    <xf numFmtId="4" fontId="0" fillId="0" borderId="22" xfId="0" applyNumberFormat="1" applyBorder="1" applyAlignment="1">
      <alignment vertical="center"/>
    </xf>
    <xf numFmtId="4" fontId="8" fillId="0" borderId="12" xfId="0" applyNumberFormat="1" applyFont="1" applyBorder="1" applyAlignment="1">
      <alignment vertical="center"/>
    </xf>
    <xf numFmtId="4" fontId="8" fillId="0" borderId="22" xfId="0" applyNumberFormat="1" applyFont="1" applyBorder="1" applyAlignment="1">
      <alignment vertical="center"/>
    </xf>
    <xf numFmtId="0" fontId="8" fillId="0" borderId="8" xfId="0" applyFont="1" applyBorder="1" applyAlignment="1">
      <alignment horizontal="right"/>
    </xf>
    <xf numFmtId="4" fontId="0" fillId="0" borderId="31" xfId="0" applyNumberFormat="1" applyBorder="1" applyAlignment="1">
      <alignment vertical="center"/>
    </xf>
    <xf numFmtId="0" fontId="4" fillId="2" borderId="2" xfId="0" applyFont="1" applyFill="1" applyBorder="1" applyAlignment="1">
      <alignment horizontal="right" vertical="center"/>
    </xf>
    <xf numFmtId="0" fontId="7" fillId="0" borderId="14" xfId="0" applyFont="1" applyBorder="1" applyAlignment="1">
      <alignment vertical="center"/>
    </xf>
    <xf numFmtId="4" fontId="7" fillId="0" borderId="13" xfId="0" applyNumberFormat="1" applyFont="1" applyBorder="1" applyAlignment="1">
      <alignment vertical="center"/>
    </xf>
    <xf numFmtId="4" fontId="0" fillId="0" borderId="11" xfId="0" applyNumberFormat="1" applyBorder="1" applyAlignment="1">
      <alignment vertical="center"/>
    </xf>
    <xf numFmtId="0" fontId="5" fillId="0" borderId="16" xfId="0" applyFont="1" applyBorder="1" applyAlignment="1">
      <alignment vertical="center"/>
    </xf>
    <xf numFmtId="4" fontId="0" fillId="0" borderId="6" xfId="0" applyNumberFormat="1" applyBorder="1" applyAlignment="1">
      <alignment vertical="center" wrapText="1"/>
    </xf>
    <xf numFmtId="0" fontId="8" fillId="2" borderId="6" xfId="0" applyFont="1" applyFill="1" applyBorder="1" applyAlignment="1">
      <alignment horizontal="right"/>
    </xf>
    <xf numFmtId="0" fontId="6" fillId="0" borderId="16" xfId="0" applyFont="1" applyBorder="1"/>
    <xf numFmtId="4" fontId="6" fillId="0" borderId="21" xfId="0" applyNumberFormat="1" applyFont="1" applyBorder="1"/>
    <xf numFmtId="0" fontId="6" fillId="0" borderId="6" xfId="0" applyFont="1" applyBorder="1"/>
    <xf numFmtId="4" fontId="6" fillId="0" borderId="21" xfId="0" applyNumberFormat="1" applyFont="1" applyBorder="1" applyAlignment="1">
      <alignment vertical="center"/>
    </xf>
    <xf numFmtId="0" fontId="8" fillId="2" borderId="8" xfId="0" applyFont="1" applyFill="1" applyBorder="1" applyAlignment="1">
      <alignment horizontal="right"/>
    </xf>
    <xf numFmtId="0" fontId="6" fillId="0" borderId="21" xfId="0" applyFont="1" applyBorder="1"/>
    <xf numFmtId="0" fontId="8" fillId="2" borderId="14" xfId="0" applyFont="1" applyFill="1" applyBorder="1" applyAlignment="1">
      <alignment horizontal="right" vertical="center"/>
    </xf>
    <xf numFmtId="0" fontId="8" fillId="0" borderId="14" xfId="0" applyFont="1" applyBorder="1" applyAlignment="1">
      <alignment vertical="center"/>
    </xf>
    <xf numFmtId="0" fontId="8" fillId="0" borderId="10" xfId="0" applyFont="1" applyBorder="1" applyAlignment="1">
      <alignment vertical="center"/>
    </xf>
    <xf numFmtId="0" fontId="7" fillId="0" borderId="2" xfId="0" applyFont="1" applyBorder="1" applyAlignment="1">
      <alignment wrapText="1"/>
    </xf>
    <xf numFmtId="4" fontId="0" fillId="0" borderId="13" xfId="0" applyNumberFormat="1" applyBorder="1" applyAlignment="1">
      <alignment vertical="center"/>
    </xf>
    <xf numFmtId="0" fontId="4" fillId="0" borderId="2" xfId="0" applyFont="1" applyBorder="1" applyAlignment="1">
      <alignment wrapText="1"/>
    </xf>
    <xf numFmtId="4" fontId="4" fillId="2" borderId="2" xfId="0" applyNumberFormat="1" applyFont="1" applyFill="1" applyBorder="1"/>
    <xf numFmtId="4" fontId="8" fillId="2" borderId="5" xfId="0" applyNumberFormat="1" applyFont="1" applyFill="1" applyBorder="1" applyAlignment="1">
      <alignment vertical="center"/>
    </xf>
    <xf numFmtId="4" fontId="8" fillId="6" borderId="10" xfId="0" applyNumberFormat="1" applyFont="1" applyFill="1" applyBorder="1" applyAlignment="1">
      <alignment vertical="center"/>
    </xf>
    <xf numFmtId="4" fontId="0" fillId="5" borderId="10" xfId="0" applyNumberFormat="1" applyFill="1" applyBorder="1" applyAlignment="1">
      <alignment vertical="center"/>
    </xf>
    <xf numFmtId="0" fontId="22" fillId="0" borderId="6" xfId="0" applyFont="1" applyBorder="1" applyAlignment="1">
      <alignment vertical="center" wrapText="1"/>
    </xf>
    <xf numFmtId="4" fontId="0" fillId="2" borderId="6" xfId="0" applyNumberFormat="1" applyFill="1" applyBorder="1" applyAlignment="1">
      <alignment vertical="center"/>
    </xf>
    <xf numFmtId="0" fontId="26" fillId="0" borderId="0" xfId="0" applyFont="1" applyAlignment="1">
      <alignment horizontal="right"/>
    </xf>
    <xf numFmtId="4" fontId="8" fillId="2" borderId="6" xfId="0" applyNumberFormat="1" applyFont="1" applyFill="1" applyBorder="1" applyAlignment="1">
      <alignment vertical="center"/>
    </xf>
    <xf numFmtId="0" fontId="25" fillId="0" borderId="0" xfId="0" applyFont="1" applyAlignment="1">
      <alignment horizontal="right"/>
    </xf>
    <xf numFmtId="0" fontId="30" fillId="0" borderId="6" xfId="0" applyFont="1" applyBorder="1" applyAlignment="1">
      <alignment horizontal="right" vertical="center"/>
    </xf>
    <xf numFmtId="0" fontId="31" fillId="0" borderId="6" xfId="0" applyFont="1" applyBorder="1" applyAlignment="1">
      <alignment vertical="center" wrapText="1"/>
    </xf>
    <xf numFmtId="0" fontId="29" fillId="0" borderId="6" xfId="0" applyFont="1" applyBorder="1" applyAlignment="1">
      <alignment vertical="center" wrapText="1"/>
    </xf>
    <xf numFmtId="4" fontId="8" fillId="5" borderId="7" xfId="0" applyNumberFormat="1" applyFont="1" applyFill="1" applyBorder="1" applyAlignment="1">
      <alignment vertical="center"/>
    </xf>
    <xf numFmtId="0" fontId="6" fillId="2" borderId="6" xfId="0" applyFont="1" applyFill="1" applyBorder="1" applyAlignment="1">
      <alignment vertical="center" wrapText="1"/>
    </xf>
    <xf numFmtId="4" fontId="18" fillId="0" borderId="6" xfId="0" applyNumberFormat="1" applyFont="1" applyBorder="1" applyAlignment="1">
      <alignment vertical="center"/>
    </xf>
    <xf numFmtId="4" fontId="0" fillId="2" borderId="9" xfId="0" applyNumberFormat="1" applyFill="1" applyBorder="1" applyAlignment="1">
      <alignment vertical="center"/>
    </xf>
    <xf numFmtId="4" fontId="0" fillId="6" borderId="6" xfId="0" applyNumberFormat="1" applyFill="1" applyBorder="1" applyAlignment="1">
      <alignment vertical="center"/>
    </xf>
    <xf numFmtId="4" fontId="18" fillId="2" borderId="6" xfId="0" applyNumberFormat="1" applyFont="1" applyFill="1" applyBorder="1" applyAlignment="1">
      <alignment vertical="center"/>
    </xf>
    <xf numFmtId="49" fontId="8" fillId="0" borderId="9" xfId="0" applyNumberFormat="1" applyFont="1" applyBorder="1" applyAlignment="1">
      <alignment horizontal="right" vertical="center"/>
    </xf>
    <xf numFmtId="2" fontId="8" fillId="0" borderId="9" xfId="0" applyNumberFormat="1" applyFont="1" applyBorder="1" applyAlignment="1">
      <alignment vertical="center" wrapText="1"/>
    </xf>
    <xf numFmtId="4" fontId="8" fillId="2" borderId="9" xfId="0" applyNumberFormat="1" applyFont="1" applyFill="1" applyBorder="1" applyAlignment="1">
      <alignment vertical="center"/>
    </xf>
    <xf numFmtId="49" fontId="6" fillId="0" borderId="6" xfId="0" applyNumberFormat="1" applyFont="1" applyBorder="1" applyAlignment="1">
      <alignment horizontal="right" vertical="center"/>
    </xf>
    <xf numFmtId="2" fontId="6" fillId="0" borderId="6" xfId="0" applyNumberFormat="1" applyFont="1" applyBorder="1" applyAlignment="1">
      <alignment vertical="center" wrapText="1"/>
    </xf>
    <xf numFmtId="49" fontId="8" fillId="0" borderId="6" xfId="0" applyNumberFormat="1" applyFont="1" applyBorder="1" applyAlignment="1">
      <alignment horizontal="right" vertical="center"/>
    </xf>
    <xf numFmtId="2" fontId="8" fillId="2" borderId="6" xfId="0" applyNumberFormat="1" applyFont="1" applyFill="1" applyBorder="1" applyAlignment="1">
      <alignment vertical="center" wrapText="1"/>
    </xf>
    <xf numFmtId="2" fontId="6" fillId="2" borderId="6" xfId="0" applyNumberFormat="1" applyFont="1" applyFill="1" applyBorder="1" applyAlignment="1">
      <alignment vertical="center" wrapText="1"/>
    </xf>
    <xf numFmtId="2" fontId="5" fillId="2" borderId="6" xfId="0" applyNumberFormat="1" applyFont="1" applyFill="1" applyBorder="1" applyAlignment="1">
      <alignment vertical="center" wrapText="1"/>
    </xf>
    <xf numFmtId="4" fontId="0" fillId="5" borderId="7" xfId="0" applyNumberFormat="1" applyFill="1" applyBorder="1" applyAlignment="1">
      <alignment vertical="center"/>
    </xf>
    <xf numFmtId="2" fontId="8" fillId="0" borderId="6" xfId="0" applyNumberFormat="1" applyFont="1" applyBorder="1" applyAlignment="1">
      <alignment vertical="center" wrapText="1"/>
    </xf>
    <xf numFmtId="4" fontId="4" fillId="0" borderId="2" xfId="0" applyNumberFormat="1" applyFont="1" applyBorder="1" applyAlignment="1">
      <alignment vertical="center" shrinkToFit="1"/>
    </xf>
    <xf numFmtId="4" fontId="8" fillId="0" borderId="9" xfId="0" applyNumberFormat="1" applyFont="1" applyBorder="1" applyAlignment="1">
      <alignment vertical="center" shrinkToFit="1"/>
    </xf>
    <xf numFmtId="0" fontId="6" fillId="5" borderId="6" xfId="0" applyFont="1" applyFill="1" applyBorder="1" applyAlignment="1">
      <alignment vertical="center" wrapText="1"/>
    </xf>
    <xf numFmtId="4" fontId="8" fillId="5" borderId="10" xfId="0" applyNumberFormat="1" applyFont="1" applyFill="1" applyBorder="1" applyAlignment="1">
      <alignment vertical="center"/>
    </xf>
    <xf numFmtId="4" fontId="0" fillId="0" borderId="9" xfId="0" applyNumberFormat="1" applyBorder="1" applyAlignment="1">
      <alignment horizontal="right" vertical="center" wrapText="1"/>
    </xf>
    <xf numFmtId="49" fontId="0" fillId="0" borderId="0" xfId="0" applyNumberFormat="1" applyAlignment="1">
      <alignment horizontal="right" vertical="center" wrapText="1"/>
    </xf>
    <xf numFmtId="0" fontId="8" fillId="0" borderId="14" xfId="0" applyFont="1" applyBorder="1" applyAlignment="1">
      <alignment horizontal="right" vertical="center"/>
    </xf>
    <xf numFmtId="0" fontId="6" fillId="0" borderId="32" xfId="0" applyFont="1" applyBorder="1" applyAlignment="1">
      <alignment vertical="center" wrapText="1"/>
    </xf>
    <xf numFmtId="0" fontId="5" fillId="0" borderId="16" xfId="0" applyFont="1" applyBorder="1" applyAlignment="1">
      <alignment vertical="center" wrapText="1"/>
    </xf>
    <xf numFmtId="4" fontId="0" fillId="6" borderId="6" xfId="0" applyNumberFormat="1" applyFill="1" applyBorder="1" applyAlignment="1">
      <alignment vertical="center" shrinkToFit="1"/>
    </xf>
    <xf numFmtId="4" fontId="0" fillId="6" borderId="6" xfId="0" applyNumberFormat="1" applyFill="1" applyBorder="1" applyAlignment="1">
      <alignment shrinkToFit="1"/>
    </xf>
    <xf numFmtId="0" fontId="33" fillId="0" borderId="16" xfId="0" applyFont="1" applyBorder="1" applyAlignment="1">
      <alignment vertical="center" wrapText="1"/>
    </xf>
    <xf numFmtId="4" fontId="0" fillId="6" borderId="9" xfId="0" applyNumberFormat="1" applyFill="1" applyBorder="1" applyAlignment="1">
      <alignment vertical="center" shrinkToFit="1"/>
    </xf>
    <xf numFmtId="4" fontId="0" fillId="6" borderId="9" xfId="0" applyNumberFormat="1" applyFill="1" applyBorder="1" applyAlignment="1">
      <alignment shrinkToFit="1"/>
    </xf>
    <xf numFmtId="0" fontId="8" fillId="0" borderId="31" xfId="0" applyFont="1" applyBorder="1"/>
    <xf numFmtId="4" fontId="7" fillId="0" borderId="14" xfId="0" applyNumberFormat="1" applyFont="1" applyBorder="1" applyAlignment="1">
      <alignment shrinkToFit="1"/>
    </xf>
    <xf numFmtId="0" fontId="8" fillId="0" borderId="5" xfId="0" applyFont="1" applyBorder="1" applyAlignment="1">
      <alignment horizontal="right"/>
    </xf>
    <xf numFmtId="0" fontId="8" fillId="0" borderId="5" xfId="0" applyFont="1" applyBorder="1"/>
    <xf numFmtId="0" fontId="8" fillId="0" borderId="10" xfId="0" applyFont="1" applyBorder="1" applyAlignment="1">
      <alignment horizontal="right"/>
    </xf>
    <xf numFmtId="0" fontId="8" fillId="0" borderId="21" xfId="0" applyFont="1" applyBorder="1"/>
    <xf numFmtId="0" fontId="4" fillId="0" borderId="9" xfId="0" applyFont="1" applyBorder="1" applyAlignment="1">
      <alignment horizontal="right"/>
    </xf>
    <xf numFmtId="0" fontId="8" fillId="0" borderId="10" xfId="0" applyFont="1" applyBorder="1" applyAlignment="1">
      <alignment horizontal="right" vertical="center"/>
    </xf>
    <xf numFmtId="0" fontId="8" fillId="0" borderId="21" xfId="0" applyFont="1" applyBorder="1" applyAlignment="1">
      <alignment vertical="center"/>
    </xf>
    <xf numFmtId="4" fontId="7" fillId="0" borderId="2" xfId="0" applyNumberFormat="1" applyFont="1" applyBorder="1" applyAlignment="1">
      <alignment shrinkToFit="1"/>
    </xf>
    <xf numFmtId="4" fontId="0" fillId="0" borderId="9" xfId="0" applyNumberFormat="1" applyBorder="1"/>
    <xf numFmtId="165" fontId="8" fillId="0" borderId="6" xfId="0" applyNumberFormat="1" applyFont="1" applyBorder="1" applyAlignment="1">
      <alignment vertical="center"/>
    </xf>
    <xf numFmtId="165" fontId="8" fillId="0" borderId="0" xfId="0" applyNumberFormat="1" applyFont="1"/>
    <xf numFmtId="0" fontId="8" fillId="0" borderId="7" xfId="0" applyFont="1" applyBorder="1" applyAlignment="1">
      <alignment horizontal="right" vertical="center"/>
    </xf>
    <xf numFmtId="4" fontId="8" fillId="0" borderId="5" xfId="0" applyNumberFormat="1" applyFont="1" applyBorder="1" applyAlignment="1">
      <alignment horizontal="right" vertical="center"/>
    </xf>
    <xf numFmtId="0" fontId="5" fillId="0" borderId="9" xfId="0" applyFont="1" applyBorder="1" applyAlignment="1">
      <alignment vertical="center" wrapText="1"/>
    </xf>
    <xf numFmtId="0" fontId="6" fillId="0" borderId="14" xfId="0" applyFont="1" applyBorder="1" applyAlignment="1">
      <alignment vertical="center"/>
    </xf>
    <xf numFmtId="4" fontId="29" fillId="0" borderId="6" xfId="0" applyNumberFormat="1" applyFont="1" applyBorder="1" applyAlignment="1">
      <alignment vertical="center"/>
    </xf>
    <xf numFmtId="0" fontId="6" fillId="0" borderId="13" xfId="0" applyFont="1" applyBorder="1" applyAlignment="1">
      <alignment horizontal="right" vertical="center"/>
    </xf>
    <xf numFmtId="0" fontId="4" fillId="0" borderId="13" xfId="0" applyFont="1" applyBorder="1"/>
    <xf numFmtId="4" fontId="4" fillId="0" borderId="13" xfId="0" applyNumberFormat="1" applyFont="1" applyBorder="1" applyAlignment="1">
      <alignment vertical="center"/>
    </xf>
    <xf numFmtId="0" fontId="5" fillId="0" borderId="5" xfId="0" applyFont="1" applyBorder="1" applyAlignment="1" applyProtection="1">
      <alignment horizontal="right" vertical="center"/>
      <protection locked="0"/>
    </xf>
    <xf numFmtId="0" fontId="0" fillId="0" borderId="5" xfId="0" applyBorder="1" applyAlignment="1" applyProtection="1">
      <alignment vertical="center"/>
      <protection locked="0"/>
    </xf>
    <xf numFmtId="0" fontId="5" fillId="0" borderId="9" xfId="0" applyFont="1" applyBorder="1" applyAlignment="1" applyProtection="1">
      <alignment horizontal="right" vertical="center"/>
      <protection locked="0"/>
    </xf>
    <xf numFmtId="0" fontId="0" fillId="0" borderId="9" xfId="0" applyBorder="1" applyAlignment="1" applyProtection="1">
      <alignment vertical="center"/>
      <protection locked="0"/>
    </xf>
    <xf numFmtId="0" fontId="5" fillId="0" borderId="6"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0" fillId="0" borderId="8" xfId="0" applyBorder="1" applyAlignment="1" applyProtection="1">
      <alignment vertical="center"/>
      <protection locked="0"/>
    </xf>
    <xf numFmtId="0" fontId="3" fillId="0" borderId="2" xfId="0" applyFont="1" applyBorder="1" applyAlignment="1">
      <alignment horizontal="right" vertical="center"/>
    </xf>
    <xf numFmtId="0" fontId="35" fillId="0" borderId="13" xfId="0" applyFont="1" applyBorder="1" applyAlignment="1">
      <alignment horizontal="right" vertical="center"/>
    </xf>
    <xf numFmtId="49" fontId="35" fillId="0" borderId="5" xfId="0" applyNumberFormat="1" applyFont="1" applyBorder="1" applyAlignment="1">
      <alignment vertical="center" wrapText="1"/>
    </xf>
    <xf numFmtId="0" fontId="35" fillId="0" borderId="6" xfId="0" applyFont="1" applyBorder="1" applyAlignment="1">
      <alignment horizontal="right" vertical="center"/>
    </xf>
    <xf numFmtId="0" fontId="35" fillId="0" borderId="6" xfId="0" applyFont="1" applyBorder="1" applyAlignment="1">
      <alignment vertical="center"/>
    </xf>
    <xf numFmtId="4" fontId="35" fillId="0" borderId="6" xfId="0" applyNumberFormat="1" applyFont="1" applyBorder="1" applyAlignment="1">
      <alignment vertical="center"/>
    </xf>
    <xf numFmtId="0" fontId="36" fillId="0" borderId="6" xfId="0" applyFont="1" applyBorder="1" applyAlignment="1">
      <alignment vertical="center" wrapText="1"/>
    </xf>
    <xf numFmtId="0" fontId="18" fillId="0" borderId="6" xfId="0" applyFont="1" applyBorder="1" applyAlignment="1">
      <alignment vertical="center" wrapText="1"/>
    </xf>
    <xf numFmtId="0" fontId="21" fillId="0" borderId="6" xfId="0" applyFont="1" applyBorder="1" applyAlignment="1">
      <alignment horizontal="right" vertical="center"/>
    </xf>
    <xf numFmtId="49" fontId="21" fillId="0" borderId="6" xfId="0" applyNumberFormat="1" applyFont="1" applyBorder="1" applyAlignment="1">
      <alignment vertical="center" wrapText="1"/>
    </xf>
    <xf numFmtId="4" fontId="8" fillId="0" borderId="6" xfId="0" applyNumberFormat="1" applyFont="1" applyBorder="1" applyAlignment="1">
      <alignment horizontal="right" vertical="center"/>
    </xf>
    <xf numFmtId="0" fontId="17" fillId="0" borderId="0" xfId="0" applyFont="1"/>
    <xf numFmtId="0" fontId="35" fillId="0" borderId="9" xfId="0" applyFont="1" applyBorder="1" applyAlignment="1">
      <alignment vertical="center" wrapText="1"/>
    </xf>
    <xf numFmtId="0" fontId="37" fillId="0" borderId="9" xfId="0" applyFont="1" applyBorder="1" applyAlignment="1">
      <alignment vertical="center"/>
    </xf>
    <xf numFmtId="0" fontId="18" fillId="0" borderId="6" xfId="0" applyFont="1" applyBorder="1" applyAlignment="1">
      <alignment horizontal="right" vertical="center"/>
    </xf>
    <xf numFmtId="4" fontId="18" fillId="0" borderId="9" xfId="0" applyNumberFormat="1" applyFont="1" applyBorder="1" applyAlignment="1">
      <alignment vertical="center"/>
    </xf>
    <xf numFmtId="49" fontId="18" fillId="0" borderId="9" xfId="0" applyNumberFormat="1" applyFont="1" applyBorder="1" applyAlignment="1">
      <alignment vertical="center"/>
    </xf>
    <xf numFmtId="49" fontId="35" fillId="0" borderId="6" xfId="0" applyNumberFormat="1" applyFont="1" applyBorder="1" applyAlignment="1">
      <alignment vertical="center" wrapText="1"/>
    </xf>
    <xf numFmtId="0" fontId="38" fillId="0" borderId="6" xfId="0" applyFont="1" applyBorder="1" applyAlignment="1">
      <alignment horizontal="right" vertical="center"/>
    </xf>
    <xf numFmtId="4" fontId="18" fillId="0" borderId="6" xfId="0" applyNumberFormat="1" applyFont="1" applyBorder="1"/>
    <xf numFmtId="0" fontId="39" fillId="0" borderId="6" xfId="0" applyFont="1" applyBorder="1" applyAlignment="1">
      <alignment horizontal="right" vertical="center"/>
    </xf>
    <xf numFmtId="4" fontId="36" fillId="0" borderId="9" xfId="0" applyNumberFormat="1" applyFont="1" applyBorder="1"/>
    <xf numFmtId="4" fontId="13" fillId="0" borderId="6" xfId="0" applyNumberFormat="1" applyFont="1" applyBorder="1" applyAlignment="1">
      <alignment vertical="center"/>
    </xf>
    <xf numFmtId="4" fontId="29" fillId="0" borderId="9" xfId="0" applyNumberFormat="1" applyFont="1" applyBorder="1" applyAlignment="1">
      <alignment vertical="center"/>
    </xf>
    <xf numFmtId="0" fontId="13" fillId="0" borderId="0" xfId="0" applyFont="1"/>
    <xf numFmtId="4" fontId="13" fillId="5" borderId="6" xfId="0" applyNumberFormat="1" applyFont="1" applyFill="1" applyBorder="1" applyAlignment="1">
      <alignment vertical="center"/>
    </xf>
    <xf numFmtId="0" fontId="40" fillId="0" borderId="6" xfId="0" applyFont="1" applyBorder="1" applyAlignment="1">
      <alignment horizontal="right" vertical="center"/>
    </xf>
    <xf numFmtId="49" fontId="18" fillId="0" borderId="6" xfId="0" applyNumberFormat="1" applyFont="1" applyBorder="1" applyAlignment="1">
      <alignment vertical="center" wrapText="1"/>
    </xf>
    <xf numFmtId="4" fontId="18" fillId="0" borderId="9" xfId="0" applyNumberFormat="1" applyFont="1" applyBorder="1" applyAlignment="1">
      <alignment horizontal="right" vertical="center"/>
    </xf>
    <xf numFmtId="4" fontId="18" fillId="0" borderId="9" xfId="0" applyNumberFormat="1" applyFont="1" applyBorder="1"/>
    <xf numFmtId="0" fontId="36" fillId="0" borderId="6" xfId="0" applyFont="1" applyBorder="1" applyAlignment="1">
      <alignment vertical="center"/>
    </xf>
    <xf numFmtId="4" fontId="36" fillId="0" borderId="6" xfId="0" applyNumberFormat="1" applyFont="1" applyBorder="1" applyAlignment="1">
      <alignment vertical="center"/>
    </xf>
    <xf numFmtId="4" fontId="29" fillId="5" borderId="6" xfId="0" applyNumberFormat="1" applyFont="1" applyFill="1" applyBorder="1" applyAlignment="1">
      <alignment vertical="center"/>
    </xf>
    <xf numFmtId="0" fontId="18" fillId="0" borderId="9" xfId="0" applyFont="1" applyBorder="1" applyAlignment="1">
      <alignment vertical="center"/>
    </xf>
    <xf numFmtId="49" fontId="36" fillId="0" borderId="9" xfId="0" applyNumberFormat="1" applyFont="1" applyBorder="1" applyAlignment="1">
      <alignment vertical="center" wrapText="1"/>
    </xf>
    <xf numFmtId="49" fontId="18" fillId="0" borderId="9" xfId="0" applyNumberFormat="1" applyFont="1" applyBorder="1" applyAlignment="1">
      <alignment vertical="center" wrapText="1"/>
    </xf>
    <xf numFmtId="49" fontId="36" fillId="0" borderId="6" xfId="0" applyNumberFormat="1" applyFont="1" applyBorder="1" applyAlignment="1">
      <alignment vertical="center"/>
    </xf>
    <xf numFmtId="4" fontId="36" fillId="0" borderId="9" xfId="0" applyNumberFormat="1" applyFont="1" applyBorder="1" applyAlignment="1">
      <alignment vertical="center"/>
    </xf>
    <xf numFmtId="4" fontId="29" fillId="0" borderId="7" xfId="0" applyNumberFormat="1" applyFont="1" applyBorder="1" applyAlignment="1">
      <alignment vertical="center"/>
    </xf>
    <xf numFmtId="4" fontId="13" fillId="0" borderId="7" xfId="0" applyNumberFormat="1" applyFont="1" applyBorder="1" applyAlignment="1">
      <alignment vertical="center"/>
    </xf>
    <xf numFmtId="0" fontId="18" fillId="0" borderId="6" xfId="3" applyFont="1" applyBorder="1" applyAlignment="1">
      <alignment vertical="center"/>
    </xf>
    <xf numFmtId="0" fontId="18" fillId="0" borderId="6" xfId="3" applyFont="1" applyBorder="1" applyAlignment="1">
      <alignment vertical="center" wrapText="1"/>
    </xf>
    <xf numFmtId="0" fontId="18" fillId="0" borderId="9" xfId="3" applyFont="1" applyBorder="1" applyAlignment="1">
      <alignment vertical="center" wrapText="1"/>
    </xf>
    <xf numFmtId="0" fontId="40" fillId="0" borderId="6" xfId="3" applyFont="1" applyBorder="1" applyAlignment="1">
      <alignment vertical="center" wrapText="1"/>
    </xf>
    <xf numFmtId="49" fontId="18" fillId="0" borderId="6" xfId="3" applyNumberFormat="1" applyFont="1" applyBorder="1" applyAlignment="1">
      <alignment vertical="center" wrapText="1"/>
    </xf>
    <xf numFmtId="4" fontId="0" fillId="0" borderId="9" xfId="0" applyNumberFormat="1" applyBorder="1" applyAlignment="1">
      <alignment vertical="center" wrapText="1"/>
    </xf>
    <xf numFmtId="0" fontId="35" fillId="0" borderId="6" xfId="0" applyFont="1" applyBorder="1" applyAlignment="1">
      <alignment vertical="center" wrapText="1"/>
    </xf>
    <xf numFmtId="0" fontId="40" fillId="0" borderId="9" xfId="0" applyFont="1" applyBorder="1" applyAlignment="1">
      <alignment horizontal="right" vertical="center"/>
    </xf>
    <xf numFmtId="0" fontId="40" fillId="0" borderId="6" xfId="3" applyFont="1" applyBorder="1" applyAlignment="1">
      <alignment vertical="center"/>
    </xf>
    <xf numFmtId="4" fontId="13" fillId="0" borderId="9" xfId="0" applyNumberFormat="1" applyFont="1" applyBorder="1" applyAlignment="1">
      <alignment vertical="center"/>
    </xf>
    <xf numFmtId="0" fontId="35" fillId="0" borderId="9" xfId="0" applyFont="1" applyBorder="1" applyAlignment="1">
      <alignment horizontal="right" vertical="center"/>
    </xf>
    <xf numFmtId="0" fontId="36" fillId="0" borderId="6" xfId="0" applyFont="1" applyBorder="1" applyAlignment="1">
      <alignment horizontal="right" vertical="center"/>
    </xf>
    <xf numFmtId="4" fontId="18" fillId="0" borderId="6" xfId="0" applyNumberFormat="1" applyFont="1" applyBorder="1" applyAlignment="1">
      <alignment horizontal="right" vertical="center"/>
    </xf>
    <xf numFmtId="2" fontId="18" fillId="0" borderId="6" xfId="0" applyNumberFormat="1" applyFont="1" applyBorder="1" applyAlignment="1">
      <alignment vertical="center" wrapText="1"/>
    </xf>
    <xf numFmtId="0" fontId="18" fillId="0" borderId="6" xfId="4" applyFont="1" applyBorder="1" applyAlignment="1">
      <alignment vertical="center" wrapText="1"/>
    </xf>
    <xf numFmtId="0" fontId="40" fillId="0" borderId="6" xfId="0" applyFont="1" applyBorder="1" applyAlignment="1">
      <alignment vertical="center"/>
    </xf>
    <xf numFmtId="4" fontId="42" fillId="0" borderId="6" xfId="0" applyNumberFormat="1" applyFont="1" applyBorder="1"/>
    <xf numFmtId="4" fontId="6" fillId="0" borderId="6" xfId="0" applyNumberFormat="1" applyFont="1" applyBorder="1"/>
    <xf numFmtId="49" fontId="35" fillId="0" borderId="9" xfId="3" applyNumberFormat="1" applyFont="1" applyBorder="1" applyAlignment="1">
      <alignment vertical="center" wrapText="1"/>
    </xf>
    <xf numFmtId="4" fontId="29" fillId="0" borderId="6" xfId="0" applyNumberFormat="1" applyFont="1" applyBorder="1"/>
    <xf numFmtId="49" fontId="18" fillId="0" borderId="9" xfId="3" applyNumberFormat="1" applyFont="1" applyBorder="1" applyAlignment="1">
      <alignment vertical="center" wrapText="1"/>
    </xf>
    <xf numFmtId="0" fontId="35" fillId="0" borderId="9" xfId="3" applyFont="1" applyBorder="1" applyAlignment="1">
      <alignment vertical="center" wrapText="1"/>
    </xf>
    <xf numFmtId="4" fontId="35" fillId="0" borderId="9" xfId="0" applyNumberFormat="1" applyFont="1" applyBorder="1" applyAlignment="1">
      <alignment vertical="center"/>
    </xf>
    <xf numFmtId="0" fontId="29" fillId="0" borderId="0" xfId="0" applyFont="1"/>
    <xf numFmtId="0" fontId="40" fillId="0" borderId="9" xfId="0" applyFont="1" applyBorder="1" applyAlignment="1">
      <alignment vertical="center"/>
    </xf>
    <xf numFmtId="49" fontId="18" fillId="0" borderId="6" xfId="4" applyNumberFormat="1" applyFont="1" applyBorder="1" applyAlignment="1">
      <alignment vertical="center" wrapText="1"/>
    </xf>
    <xf numFmtId="49" fontId="18" fillId="0" borderId="9" xfId="4" applyNumberFormat="1" applyFont="1" applyBorder="1" applyAlignment="1">
      <alignment vertical="center" wrapText="1"/>
    </xf>
    <xf numFmtId="49" fontId="35" fillId="0" borderId="9" xfId="4" applyNumberFormat="1" applyFont="1" applyBorder="1" applyAlignment="1">
      <alignment vertical="center" wrapText="1"/>
    </xf>
    <xf numFmtId="0" fontId="35" fillId="0" borderId="9" xfId="4" applyFont="1" applyBorder="1" applyAlignment="1">
      <alignment vertical="center" wrapText="1"/>
    </xf>
    <xf numFmtId="0" fontId="18" fillId="0" borderId="7" xfId="0" applyFont="1" applyBorder="1" applyAlignment="1">
      <alignment horizontal="right" vertical="center"/>
    </xf>
    <xf numFmtId="49" fontId="18" fillId="0" borderId="9" xfId="3" applyNumberFormat="1" applyFont="1" applyBorder="1" applyAlignment="1">
      <alignment vertical="center"/>
    </xf>
    <xf numFmtId="0" fontId="18" fillId="0" borderId="14" xfId="0" applyFont="1" applyBorder="1" applyAlignment="1">
      <alignment horizontal="right" vertical="center"/>
    </xf>
    <xf numFmtId="0" fontId="18" fillId="0" borderId="21" xfId="0" applyFont="1" applyBorder="1" applyAlignment="1">
      <alignment vertical="center"/>
    </xf>
    <xf numFmtId="0" fontId="0" fillId="0" borderId="10" xfId="0" applyBorder="1"/>
    <xf numFmtId="0" fontId="7" fillId="0" borderId="18" xfId="0" applyFont="1" applyBorder="1"/>
    <xf numFmtId="0" fontId="6" fillId="0" borderId="2" xfId="0" applyFont="1" applyBorder="1" applyAlignment="1">
      <alignment horizontal="right" vertical="center"/>
    </xf>
    <xf numFmtId="0" fontId="6" fillId="0" borderId="7" xfId="0" applyFont="1" applyBorder="1"/>
    <xf numFmtId="0" fontId="0" fillId="0" borderId="7" xfId="0" applyBorder="1"/>
    <xf numFmtId="0" fontId="6" fillId="0" borderId="33" xfId="0" applyFont="1" applyBorder="1"/>
    <xf numFmtId="0" fontId="35" fillId="0" borderId="0" xfId="0" applyFont="1" applyAlignment="1">
      <alignment vertical="center"/>
    </xf>
    <xf numFmtId="0" fontId="5" fillId="0" borderId="9" xfId="0" applyFont="1" applyBorder="1" applyAlignment="1">
      <alignment horizontal="right" vertical="center" wrapText="1"/>
    </xf>
    <xf numFmtId="0" fontId="4" fillId="0" borderId="0" xfId="0" applyFont="1" applyAlignment="1">
      <alignment vertical="center"/>
    </xf>
    <xf numFmtId="0" fontId="0" fillId="0" borderId="9" xfId="0" applyBorder="1"/>
    <xf numFmtId="0" fontId="7" fillId="0" borderId="0" xfId="0" applyFont="1" applyAlignment="1">
      <alignment wrapText="1"/>
    </xf>
    <xf numFmtId="0" fontId="7" fillId="0" borderId="0" xfId="0" applyFont="1"/>
    <xf numFmtId="0" fontId="8" fillId="0" borderId="9" xfId="0" applyFont="1" applyBorder="1" applyAlignment="1">
      <alignment vertical="top" wrapText="1"/>
    </xf>
    <xf numFmtId="0" fontId="16" fillId="0" borderId="0" xfId="0" applyFont="1" applyAlignment="1">
      <alignment wrapText="1"/>
    </xf>
    <xf numFmtId="0" fontId="5" fillId="0" borderId="14" xfId="0" applyFont="1" applyBorder="1" applyAlignment="1">
      <alignment horizontal="right" vertical="center"/>
    </xf>
    <xf numFmtId="4" fontId="0" fillId="0" borderId="14" xfId="0" applyNumberFormat="1" applyBorder="1"/>
    <xf numFmtId="0" fontId="0" fillId="0" borderId="14" xfId="0" applyBorder="1"/>
    <xf numFmtId="0" fontId="9" fillId="0" borderId="14" xfId="0" applyFont="1" applyBorder="1" applyAlignment="1">
      <alignment horizontal="right"/>
    </xf>
    <xf numFmtId="0" fontId="9" fillId="0" borderId="14" xfId="0" applyFont="1" applyBorder="1"/>
    <xf numFmtId="4" fontId="9" fillId="0" borderId="14" xfId="0" applyNumberFormat="1" applyFont="1" applyBorder="1"/>
    <xf numFmtId="4" fontId="10" fillId="0" borderId="14" xfId="0" applyNumberFormat="1" applyFont="1" applyBorder="1"/>
    <xf numFmtId="4" fontId="6" fillId="0" borderId="14" xfId="0" applyNumberFormat="1" applyFont="1" applyBorder="1"/>
    <xf numFmtId="4" fontId="9" fillId="0" borderId="14" xfId="0" applyNumberFormat="1" applyFont="1" applyBorder="1" applyAlignment="1">
      <alignment vertical="center"/>
    </xf>
    <xf numFmtId="0" fontId="6" fillId="0" borderId="0" xfId="0" applyFont="1" applyAlignment="1">
      <alignment horizontal="right"/>
    </xf>
    <xf numFmtId="0" fontId="18" fillId="0" borderId="0" xfId="0" applyFont="1" applyAlignment="1">
      <alignment horizontal="left"/>
    </xf>
  </cellXfs>
  <cellStyles count="5">
    <cellStyle name="Excel_BuiltIn_Poznámka 1" xfId="2"/>
    <cellStyle name="Normální" xfId="0" builtinId="0"/>
    <cellStyle name="normální 2" xfId="3"/>
    <cellStyle name="Normální 2 2 2" xfId="4"/>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sheetPr>
  <dimension ref="A1:IV930"/>
  <sheetViews>
    <sheetView tabSelected="1" workbookViewId="0">
      <selection activeCell="M1" sqref="M1"/>
    </sheetView>
  </sheetViews>
  <sheetFormatPr defaultColWidth="9.5703125" defaultRowHeight="12.75" x14ac:dyDescent="0.2"/>
  <cols>
    <col min="1" max="1" width="11.85546875" style="8" customWidth="1"/>
    <col min="2" max="2" width="91.85546875" style="8" customWidth="1"/>
    <col min="3" max="3" width="24.7109375" style="8" customWidth="1"/>
    <col min="4" max="4" width="27.5703125" style="8" customWidth="1"/>
    <col min="5" max="5" width="24.7109375" style="8" customWidth="1"/>
    <col min="6" max="6" width="18.7109375" hidden="1" customWidth="1"/>
    <col min="7" max="8" width="10.5703125" style="8" customWidth="1"/>
    <col min="9" max="9" width="12.140625" style="8" customWidth="1"/>
    <col min="10" max="10" width="15.7109375" style="34" hidden="1" customWidth="1"/>
    <col min="11" max="11" width="13.85546875" style="8" hidden="1" customWidth="1"/>
    <col min="12" max="12" width="12.7109375" style="8" customWidth="1"/>
    <col min="13" max="13" width="0" style="8" hidden="1" customWidth="1"/>
    <col min="14" max="16384" width="9.5703125" style="8"/>
  </cols>
  <sheetData>
    <row r="1" spans="1:13" ht="49.5" customHeight="1" thickBot="1" x14ac:dyDescent="0.25">
      <c r="A1" s="1" t="s">
        <v>0</v>
      </c>
      <c r="B1" s="2" t="s">
        <v>1</v>
      </c>
      <c r="C1" s="3" t="s">
        <v>2</v>
      </c>
      <c r="D1" s="3" t="s">
        <v>3</v>
      </c>
      <c r="E1" s="3" t="s">
        <v>4</v>
      </c>
      <c r="F1" s="4" t="s">
        <v>5</v>
      </c>
      <c r="G1" s="5" t="s">
        <v>6</v>
      </c>
      <c r="H1" s="5" t="s">
        <v>7</v>
      </c>
      <c r="I1" s="6" t="s">
        <v>8</v>
      </c>
      <c r="J1" s="7" t="s">
        <v>9</v>
      </c>
    </row>
    <row r="2" spans="1:13" ht="22.5" customHeight="1" x14ac:dyDescent="0.3">
      <c r="A2" s="9"/>
      <c r="B2" s="10" t="s">
        <v>10</v>
      </c>
      <c r="C2" s="11"/>
      <c r="D2" s="11"/>
      <c r="E2" s="12"/>
      <c r="F2" s="13"/>
      <c r="G2" s="11"/>
      <c r="H2" s="11"/>
      <c r="I2" s="11"/>
      <c r="J2" s="7"/>
      <c r="K2" s="14"/>
    </row>
    <row r="3" spans="1:13" s="21" customFormat="1" ht="22.5" customHeight="1" x14ac:dyDescent="0.25">
      <c r="A3" s="15"/>
      <c r="B3" s="16" t="s">
        <v>11</v>
      </c>
      <c r="C3" s="17">
        <f>C32</f>
        <v>423738000</v>
      </c>
      <c r="D3" s="17">
        <f>D32</f>
        <v>468727793.94</v>
      </c>
      <c r="E3" s="17">
        <f t="shared" ref="E3:I3" si="0">E32</f>
        <v>503798737.32999998</v>
      </c>
      <c r="F3" s="18">
        <f t="shared" si="0"/>
        <v>503798737.32999998</v>
      </c>
      <c r="G3" s="17">
        <f t="shared" si="0"/>
        <v>118.89392438959922</v>
      </c>
      <c r="H3" s="17">
        <f t="shared" si="0"/>
        <v>107.48215570815698</v>
      </c>
      <c r="I3" s="17">
        <f t="shared" si="0"/>
        <v>118.65600694830893</v>
      </c>
      <c r="J3" s="19"/>
      <c r="K3" s="20"/>
    </row>
    <row r="4" spans="1:13" s="21" customFormat="1" ht="22.5" customHeight="1" x14ac:dyDescent="0.25">
      <c r="A4" s="22"/>
      <c r="B4" s="15" t="s">
        <v>12</v>
      </c>
      <c r="C4" s="23">
        <f>C65</f>
        <v>153981442.63999999</v>
      </c>
      <c r="D4" s="23">
        <f>D65</f>
        <v>144448161.81</v>
      </c>
      <c r="E4" s="23">
        <f t="shared" ref="E4:I4" si="1">E65</f>
        <v>149220274.52000001</v>
      </c>
      <c r="F4" s="24">
        <f t="shared" si="1"/>
        <v>149220274.52000004</v>
      </c>
      <c r="G4" s="23">
        <f t="shared" si="1"/>
        <v>96.907959791537138</v>
      </c>
      <c r="H4" s="23">
        <f t="shared" si="1"/>
        <v>103.3036853153431</v>
      </c>
      <c r="I4" s="23">
        <f t="shared" si="1"/>
        <v>109.59186111390619</v>
      </c>
      <c r="J4" s="19"/>
    </row>
    <row r="5" spans="1:13" s="21" customFormat="1" ht="22.5" customHeight="1" x14ac:dyDescent="0.25">
      <c r="A5" s="25"/>
      <c r="B5" s="15" t="s">
        <v>13</v>
      </c>
      <c r="C5" s="23">
        <f>C168</f>
        <v>125171909</v>
      </c>
      <c r="D5" s="23">
        <f>D168</f>
        <v>80354209</v>
      </c>
      <c r="E5" s="23">
        <f t="shared" ref="E5:I5" si="2">E168</f>
        <v>31528371.02</v>
      </c>
      <c r="F5" s="24">
        <f t="shared" si="2"/>
        <v>31528371.02</v>
      </c>
      <c r="G5" s="23">
        <f t="shared" si="2"/>
        <v>25.188056387316106</v>
      </c>
      <c r="H5" s="23">
        <f t="shared" si="2"/>
        <v>39.236738700271445</v>
      </c>
      <c r="I5" s="23">
        <f t="shared" si="2"/>
        <v>45.173422564728369</v>
      </c>
      <c r="J5" s="19"/>
    </row>
    <row r="6" spans="1:13" s="21" customFormat="1" ht="22.5" customHeight="1" x14ac:dyDescent="0.25">
      <c r="A6" s="26"/>
      <c r="B6" s="27" t="s">
        <v>14</v>
      </c>
      <c r="C6" s="28">
        <f>C185</f>
        <v>76253712.853499994</v>
      </c>
      <c r="D6" s="28">
        <f>D185</f>
        <v>130047445.3635</v>
      </c>
      <c r="E6" s="28">
        <f t="shared" ref="E6:I6" si="3">E185</f>
        <v>130606845.36</v>
      </c>
      <c r="F6" s="29">
        <f t="shared" si="3"/>
        <v>130606845.36</v>
      </c>
      <c r="G6" s="28">
        <f t="shared" si="3"/>
        <v>171.27932591416791</v>
      </c>
      <c r="H6" s="28">
        <f t="shared" si="3"/>
        <v>100.4301506999514</v>
      </c>
      <c r="I6" s="28">
        <f t="shared" si="3"/>
        <v>124.46334329789397</v>
      </c>
      <c r="J6" s="19"/>
    </row>
    <row r="7" spans="1:13" s="21" customFormat="1" ht="22.5" customHeight="1" x14ac:dyDescent="0.3">
      <c r="A7" s="30"/>
      <c r="B7" s="31" t="s">
        <v>15</v>
      </c>
      <c r="C7" s="32">
        <f>C253</f>
        <v>779145064.49349999</v>
      </c>
      <c r="D7" s="32">
        <f>D253</f>
        <v>823577610.1135</v>
      </c>
      <c r="E7" s="32">
        <f t="shared" ref="E7:I7" si="4">E253</f>
        <v>815154228.23000002</v>
      </c>
      <c r="F7" s="33">
        <f t="shared" si="4"/>
        <v>815154228.23000002</v>
      </c>
      <c r="G7" s="32">
        <f t="shared" si="4"/>
        <v>104.62162508337374</v>
      </c>
      <c r="H7" s="32">
        <f t="shared" si="4"/>
        <v>98.977220631053925</v>
      </c>
      <c r="I7" s="32">
        <f t="shared" si="4"/>
        <v>110.83330309396192</v>
      </c>
      <c r="J7" s="34"/>
    </row>
    <row r="8" spans="1:13" s="21" customFormat="1" ht="22.5" customHeight="1" thickBot="1" x14ac:dyDescent="0.3">
      <c r="A8" s="35"/>
      <c r="B8" s="36" t="s">
        <v>16</v>
      </c>
      <c r="C8" s="37">
        <f>C255</f>
        <v>176903799.76000002</v>
      </c>
      <c r="D8" s="37">
        <f>D255</f>
        <v>204060887.07000002</v>
      </c>
      <c r="E8" s="37">
        <f t="shared" ref="E8:I8" si="5">E255</f>
        <v>176430455.55000001</v>
      </c>
      <c r="F8" s="38">
        <f t="shared" si="5"/>
        <v>176430455.55000001</v>
      </c>
      <c r="G8" s="37">
        <f t="shared" si="5"/>
        <v>99.732428466408194</v>
      </c>
      <c r="H8" s="37">
        <f t="shared" si="5"/>
        <v>86.459712139484225</v>
      </c>
      <c r="I8" s="37">
        <f t="shared" si="5"/>
        <v>-409.54760537282687</v>
      </c>
      <c r="J8" s="19"/>
    </row>
    <row r="9" spans="1:13" s="44" customFormat="1" ht="24" customHeight="1" thickBot="1" x14ac:dyDescent="0.4">
      <c r="A9" s="39"/>
      <c r="B9" s="40" t="s">
        <v>17</v>
      </c>
      <c r="C9" s="41">
        <f>C266</f>
        <v>956048864.25349998</v>
      </c>
      <c r="D9" s="41">
        <f>D266</f>
        <v>1027638497.1835001</v>
      </c>
      <c r="E9" s="41">
        <f t="shared" ref="E9:I9" si="6">E266</f>
        <v>991584683.77999997</v>
      </c>
      <c r="F9" s="42">
        <f t="shared" si="6"/>
        <v>991584683.77999997</v>
      </c>
      <c r="G9" s="41">
        <f t="shared" si="6"/>
        <v>103.71694594859929</v>
      </c>
      <c r="H9" s="43">
        <f t="shared" si="6"/>
        <v>96.491585951449409</v>
      </c>
      <c r="I9" s="41">
        <f t="shared" si="6"/>
        <v>143.21014590228393</v>
      </c>
      <c r="J9" s="34"/>
    </row>
    <row r="10" spans="1:13" s="21" customFormat="1" ht="22.5" customHeight="1" x14ac:dyDescent="0.3">
      <c r="A10" s="45"/>
      <c r="B10" s="46" t="s">
        <v>18</v>
      </c>
      <c r="C10" s="47"/>
      <c r="D10" s="47"/>
      <c r="E10" s="48"/>
      <c r="F10" s="49"/>
      <c r="G10" s="50"/>
      <c r="H10" s="50"/>
      <c r="I10" s="50"/>
      <c r="J10" s="51" t="s">
        <v>19</v>
      </c>
      <c r="K10" s="52" t="s">
        <v>20</v>
      </c>
    </row>
    <row r="11" spans="1:13" s="60" customFormat="1" ht="22.5" customHeight="1" x14ac:dyDescent="0.2">
      <c r="A11" s="53"/>
      <c r="B11" s="54" t="s">
        <v>21</v>
      </c>
      <c r="C11" s="55">
        <f>C30-C12</f>
        <v>653494601.03999996</v>
      </c>
      <c r="D11" s="55">
        <v>738646410.69000006</v>
      </c>
      <c r="E11" s="56">
        <v>728624370.90999997</v>
      </c>
      <c r="F11" s="57"/>
      <c r="G11" s="58">
        <f t="shared" ref="G11:G12" si="7">E11/C11*100</f>
        <v>111.49661676629543</v>
      </c>
      <c r="H11" s="58">
        <f t="shared" ref="H11:H12" si="8">E11/D11*100</f>
        <v>98.643188454589776</v>
      </c>
      <c r="I11" s="58">
        <f t="shared" ref="I11:I12" si="9">E11/J11*100</f>
        <v>130.69956499055053</v>
      </c>
      <c r="J11" s="19">
        <v>557480333.59000003</v>
      </c>
      <c r="K11" s="19">
        <v>663939206.44000006</v>
      </c>
      <c r="L11" s="59"/>
    </row>
    <row r="12" spans="1:13" s="60" customFormat="1" ht="22.5" customHeight="1" x14ac:dyDescent="0.2">
      <c r="A12" s="53"/>
      <c r="B12" s="54" t="s">
        <v>22</v>
      </c>
      <c r="C12" s="61">
        <f>12229069.59+96570000+42642083.62+1020000+2522810+1900000+24389300+121281000</f>
        <v>302554263.21000004</v>
      </c>
      <c r="D12" s="61">
        <v>288992086.49000001</v>
      </c>
      <c r="E12" s="56">
        <v>262960312.87</v>
      </c>
      <c r="F12" s="62"/>
      <c r="G12" s="58">
        <f t="shared" si="7"/>
        <v>86.913438297011126</v>
      </c>
      <c r="H12" s="58">
        <f t="shared" si="8"/>
        <v>90.99221922088833</v>
      </c>
      <c r="I12" s="58">
        <f t="shared" si="9"/>
        <v>194.90378275875065</v>
      </c>
      <c r="J12" s="63">
        <v>134918013.97999999</v>
      </c>
      <c r="K12" s="64">
        <v>216240014.91</v>
      </c>
      <c r="L12" s="65"/>
    </row>
    <row r="13" spans="1:13" ht="22.5" customHeight="1" x14ac:dyDescent="0.3">
      <c r="A13" s="66"/>
      <c r="B13" s="15" t="s">
        <v>23</v>
      </c>
      <c r="C13" s="23">
        <f>C268</f>
        <v>65272069.590000004</v>
      </c>
      <c r="D13" s="23">
        <f>D268</f>
        <v>58736250.789999992</v>
      </c>
      <c r="E13" s="23">
        <f t="shared" ref="E13:I13" si="10">E268</f>
        <v>45846175.039999999</v>
      </c>
      <c r="F13" s="24">
        <f t="shared" si="10"/>
        <v>45846175.039999999</v>
      </c>
      <c r="G13" s="23">
        <f t="shared" si="10"/>
        <v>70.238580342217077</v>
      </c>
      <c r="H13" s="23">
        <f t="shared" si="10"/>
        <v>78.054309601602014</v>
      </c>
      <c r="I13" s="23">
        <f t="shared" si="10"/>
        <v>102.04430807882532</v>
      </c>
      <c r="J13" s="34">
        <f>SUM(J11:J12)</f>
        <v>692398347.57000005</v>
      </c>
      <c r="K13" s="67">
        <f>SUM(K11:K12)</f>
        <v>880179221.35000002</v>
      </c>
      <c r="L13" s="21"/>
      <c r="M13" s="21"/>
    </row>
    <row r="14" spans="1:13" ht="22.5" customHeight="1" x14ac:dyDescent="0.3">
      <c r="A14" s="66"/>
      <c r="B14" s="15" t="s">
        <v>24</v>
      </c>
      <c r="C14" s="23">
        <f>C364</f>
        <v>107920000</v>
      </c>
      <c r="D14" s="23">
        <f>D364</f>
        <v>152257285.88999999</v>
      </c>
      <c r="E14" s="23">
        <f t="shared" ref="E14:I14" si="11">E364</f>
        <v>131937077.78</v>
      </c>
      <c r="F14" s="24">
        <f t="shared" si="11"/>
        <v>131937077.78</v>
      </c>
      <c r="G14" s="23">
        <f t="shared" si="11"/>
        <v>122.25451981097109</v>
      </c>
      <c r="H14" s="23">
        <f t="shared" si="11"/>
        <v>86.654032356336259</v>
      </c>
      <c r="I14" s="23">
        <f t="shared" si="11"/>
        <v>225.30404349661902</v>
      </c>
    </row>
    <row r="15" spans="1:13" ht="22.5" customHeight="1" x14ac:dyDescent="0.25">
      <c r="A15" s="25"/>
      <c r="B15" s="15" t="s">
        <v>25</v>
      </c>
      <c r="C15" s="23">
        <f>C502</f>
        <v>15000</v>
      </c>
      <c r="D15" s="23">
        <f>D502</f>
        <v>15000</v>
      </c>
      <c r="E15" s="23">
        <f t="shared" ref="E15:I15" si="12">E502</f>
        <v>10000</v>
      </c>
      <c r="F15" s="24">
        <f t="shared" si="12"/>
        <v>10000</v>
      </c>
      <c r="G15" s="23">
        <f t="shared" si="12"/>
        <v>66.666666666666657</v>
      </c>
      <c r="H15" s="23">
        <f t="shared" si="12"/>
        <v>66.666666666666657</v>
      </c>
      <c r="I15" s="23">
        <f t="shared" si="12"/>
        <v>0.37924210740288178</v>
      </c>
    </row>
    <row r="16" spans="1:13" s="21" customFormat="1" ht="22.5" customHeight="1" x14ac:dyDescent="0.25">
      <c r="A16" s="68"/>
      <c r="B16" s="15" t="s">
        <v>26</v>
      </c>
      <c r="C16" s="69">
        <f>C505</f>
        <v>11559056</v>
      </c>
      <c r="D16" s="69">
        <f>D505</f>
        <v>12218557.33</v>
      </c>
      <c r="E16" s="69">
        <f t="shared" ref="E16:I16" si="13">E505</f>
        <v>11878801.84</v>
      </c>
      <c r="F16" s="70">
        <f t="shared" si="13"/>
        <v>11878801.839999998</v>
      </c>
      <c r="G16" s="69">
        <f t="shared" si="13"/>
        <v>102.76619336388715</v>
      </c>
      <c r="H16" s="69">
        <f t="shared" si="13"/>
        <v>97.219348562814332</v>
      </c>
      <c r="I16" s="69">
        <f t="shared" si="13"/>
        <v>135.80852847998597</v>
      </c>
      <c r="J16" s="19"/>
    </row>
    <row r="17" spans="1:256" s="21" customFormat="1" ht="22.5" customHeight="1" x14ac:dyDescent="0.25">
      <c r="A17" s="71"/>
      <c r="B17" s="15" t="s">
        <v>27</v>
      </c>
      <c r="C17" s="23">
        <f>C511</f>
        <v>8993247</v>
      </c>
      <c r="D17" s="23">
        <f>D511</f>
        <v>9225773</v>
      </c>
      <c r="E17" s="23">
        <f t="shared" ref="E17:I17" si="14">E511</f>
        <v>9040621.1699999999</v>
      </c>
      <c r="F17" s="24">
        <f t="shared" si="14"/>
        <v>9040621.1699999999</v>
      </c>
      <c r="G17" s="23">
        <f t="shared" si="14"/>
        <v>100.5267749234509</v>
      </c>
      <c r="H17" s="23">
        <f t="shared" si="14"/>
        <v>97.993102258206449</v>
      </c>
      <c r="I17" s="23">
        <f t="shared" si="14"/>
        <v>135.43133369126295</v>
      </c>
      <c r="J17" s="34"/>
    </row>
    <row r="18" spans="1:256" s="21" customFormat="1" ht="22.5" customHeight="1" x14ac:dyDescent="0.25">
      <c r="A18" s="71"/>
      <c r="B18" s="15" t="s">
        <v>28</v>
      </c>
      <c r="C18" s="23">
        <f>C523</f>
        <v>112000</v>
      </c>
      <c r="D18" s="23">
        <f>D523</f>
        <v>112000</v>
      </c>
      <c r="E18" s="23">
        <f t="shared" ref="E18:I18" si="15">E523</f>
        <v>106821.08</v>
      </c>
      <c r="F18" s="24">
        <f t="shared" si="15"/>
        <v>106821.08</v>
      </c>
      <c r="G18" s="23">
        <f t="shared" si="15"/>
        <v>95.375964285714289</v>
      </c>
      <c r="H18" s="23">
        <f t="shared" si="15"/>
        <v>95.375964285714289</v>
      </c>
      <c r="I18" s="23">
        <f t="shared" si="15"/>
        <v>225.15690950921058</v>
      </c>
      <c r="J18" s="19"/>
    </row>
    <row r="19" spans="1:256" s="21" customFormat="1" ht="22.5" customHeight="1" x14ac:dyDescent="0.25">
      <c r="A19" s="71"/>
      <c r="B19" s="15" t="s">
        <v>29</v>
      </c>
      <c r="C19" s="23">
        <f>C527</f>
        <v>750000</v>
      </c>
      <c r="D19" s="23">
        <f>D527</f>
        <v>1826000</v>
      </c>
      <c r="E19" s="23">
        <f t="shared" ref="E19:I19" si="16">E527</f>
        <v>1079705.4099999999</v>
      </c>
      <c r="F19" s="24">
        <f t="shared" si="16"/>
        <v>1079705.4099999999</v>
      </c>
      <c r="G19" s="23">
        <f t="shared" si="16"/>
        <v>143.96072133333334</v>
      </c>
      <c r="H19" s="23">
        <f t="shared" si="16"/>
        <v>59.129540525739323</v>
      </c>
      <c r="I19" s="23">
        <f t="shared" si="16"/>
        <v>0</v>
      </c>
      <c r="J19" s="34"/>
    </row>
    <row r="20" spans="1:256" s="73" customFormat="1" ht="22.5" customHeight="1" x14ac:dyDescent="0.25">
      <c r="A20" s="22"/>
      <c r="B20" s="72" t="s">
        <v>30</v>
      </c>
      <c r="C20" s="23">
        <f>C531</f>
        <v>158341864.90000001</v>
      </c>
      <c r="D20" s="23">
        <f>D531</f>
        <v>175059518.31999999</v>
      </c>
      <c r="E20" s="23">
        <f t="shared" ref="E20:I20" si="17">E531</f>
        <v>173672638.78</v>
      </c>
      <c r="F20" s="24">
        <f t="shared" si="17"/>
        <v>173672638.78</v>
      </c>
      <c r="G20" s="23">
        <f t="shared" si="17"/>
        <v>109.68207232476519</v>
      </c>
      <c r="H20" s="23">
        <f t="shared" si="17"/>
        <v>99.207766847921491</v>
      </c>
      <c r="I20" s="23">
        <f t="shared" si="17"/>
        <v>121.34363464478093</v>
      </c>
      <c r="J20" s="34"/>
    </row>
    <row r="21" spans="1:256" ht="22.5" customHeight="1" x14ac:dyDescent="0.25">
      <c r="A21" s="68"/>
      <c r="B21" s="15" t="s">
        <v>31</v>
      </c>
      <c r="C21" s="69">
        <f>C620</f>
        <v>26641500</v>
      </c>
      <c r="D21" s="69">
        <f>D620</f>
        <v>26255100</v>
      </c>
      <c r="E21" s="69">
        <f t="shared" ref="E21:I21" si="18">E620</f>
        <v>24812220.170000002</v>
      </c>
      <c r="F21" s="70">
        <f t="shared" si="18"/>
        <v>24812220.170000002</v>
      </c>
      <c r="G21" s="69">
        <f t="shared" si="18"/>
        <v>93.133720586303326</v>
      </c>
      <c r="H21" s="69">
        <f t="shared" si="18"/>
        <v>94.504382653274988</v>
      </c>
      <c r="I21" s="69">
        <f t="shared" si="18"/>
        <v>109.06503560166428</v>
      </c>
      <c r="J21" s="19"/>
    </row>
    <row r="22" spans="1:256" ht="22.5" customHeight="1" x14ac:dyDescent="0.25">
      <c r="A22" s="68"/>
      <c r="B22" s="15" t="s">
        <v>32</v>
      </c>
      <c r="C22" s="23">
        <f>C624</f>
        <v>36207950</v>
      </c>
      <c r="D22" s="23">
        <f>D624</f>
        <v>42345367.5</v>
      </c>
      <c r="E22" s="23">
        <f t="shared" ref="E22:I22" si="19">E624</f>
        <v>34055315.590000004</v>
      </c>
      <c r="F22" s="24">
        <f t="shared" si="19"/>
        <v>34055315.590000004</v>
      </c>
      <c r="G22" s="23">
        <f t="shared" si="19"/>
        <v>94.054801749339589</v>
      </c>
      <c r="H22" s="23">
        <f t="shared" si="19"/>
        <v>80.422765465431382</v>
      </c>
      <c r="I22" s="23">
        <f t="shared" si="19"/>
        <v>130.69847657805241</v>
      </c>
      <c r="J22" s="19"/>
    </row>
    <row r="23" spans="1:256" ht="22.5" customHeight="1" x14ac:dyDescent="0.25">
      <c r="A23" s="68"/>
      <c r="B23" s="15" t="s">
        <v>33</v>
      </c>
      <c r="C23" s="17">
        <f>C646</f>
        <v>160671480</v>
      </c>
      <c r="D23" s="17">
        <f>D646</f>
        <v>158715080</v>
      </c>
      <c r="E23" s="17">
        <f t="shared" ref="E23:I23" si="20">E646</f>
        <v>150477045.44999999</v>
      </c>
      <c r="F23" s="18">
        <f t="shared" si="20"/>
        <v>150477045.44999999</v>
      </c>
      <c r="G23" s="17">
        <f t="shared" si="20"/>
        <v>93.655106338722959</v>
      </c>
      <c r="H23" s="17">
        <f t="shared" si="20"/>
        <v>94.809545161052114</v>
      </c>
      <c r="I23" s="17">
        <f t="shared" si="20"/>
        <v>105.11761373711106</v>
      </c>
      <c r="J23" s="19"/>
    </row>
    <row r="24" spans="1:256" ht="22.5" customHeight="1" x14ac:dyDescent="0.25">
      <c r="A24" s="68"/>
      <c r="B24" s="15" t="s">
        <v>34</v>
      </c>
      <c r="C24" s="17">
        <f>C656</f>
        <v>14300260</v>
      </c>
      <c r="D24" s="17">
        <f>D656</f>
        <v>15372744</v>
      </c>
      <c r="E24" s="17">
        <f t="shared" ref="E24:I24" si="21">E656</f>
        <v>12502616.779999999</v>
      </c>
      <c r="F24" s="18">
        <f t="shared" si="21"/>
        <v>12502616.779999999</v>
      </c>
      <c r="G24" s="17">
        <f t="shared" si="21"/>
        <v>87.429296949845664</v>
      </c>
      <c r="H24" s="17">
        <f t="shared" si="21"/>
        <v>81.329766370922457</v>
      </c>
      <c r="I24" s="17">
        <f t="shared" si="21"/>
        <v>126.71014769016465</v>
      </c>
      <c r="J24" s="19"/>
    </row>
    <row r="25" spans="1:256" ht="22.5" customHeight="1" x14ac:dyDescent="0.25">
      <c r="A25" s="22"/>
      <c r="B25" s="15" t="s">
        <v>35</v>
      </c>
      <c r="C25" s="23">
        <f>C697</f>
        <v>17718500</v>
      </c>
      <c r="D25" s="23">
        <f>D697</f>
        <v>16187808.300000001</v>
      </c>
      <c r="E25" s="23">
        <f t="shared" ref="E25:I25" si="22">E697</f>
        <v>14726154.710000001</v>
      </c>
      <c r="F25" s="24">
        <f t="shared" si="22"/>
        <v>14726154.710000001</v>
      </c>
      <c r="G25" s="23">
        <f t="shared" si="22"/>
        <v>83.111745971724474</v>
      </c>
      <c r="H25" s="23">
        <f t="shared" si="22"/>
        <v>90.970651721888757</v>
      </c>
      <c r="I25" s="23">
        <f t="shared" si="22"/>
        <v>95.499185955812877</v>
      </c>
    </row>
    <row r="26" spans="1:256" ht="22.5" customHeight="1" x14ac:dyDescent="0.25">
      <c r="A26" s="68"/>
      <c r="B26" s="15" t="s">
        <v>36</v>
      </c>
      <c r="C26" s="69">
        <f>C703</f>
        <v>76671300</v>
      </c>
      <c r="D26" s="69">
        <f>D703</f>
        <v>54183918.039999999</v>
      </c>
      <c r="E26" s="69">
        <f t="shared" ref="E26:I26" si="23">E703</f>
        <v>52349759.829999998</v>
      </c>
      <c r="F26" s="70">
        <f t="shared" si="23"/>
        <v>52349759.829999998</v>
      </c>
      <c r="G26" s="69">
        <f t="shared" si="23"/>
        <v>68.278169054131084</v>
      </c>
      <c r="H26" s="69">
        <f t="shared" si="23"/>
        <v>96.614939863437016</v>
      </c>
      <c r="I26" s="69">
        <f t="shared" si="23"/>
        <v>114.6786308109379</v>
      </c>
    </row>
    <row r="27" spans="1:256" ht="22.5" customHeight="1" x14ac:dyDescent="0.25">
      <c r="A27" s="15"/>
      <c r="B27" s="15" t="s">
        <v>37</v>
      </c>
      <c r="C27" s="23">
        <f>C730</f>
        <v>229356000</v>
      </c>
      <c r="D27" s="23">
        <f>D730</f>
        <v>179947520.03</v>
      </c>
      <c r="E27" s="23">
        <f t="shared" ref="E27:I27" si="24">E730</f>
        <v>167901197.56</v>
      </c>
      <c r="F27" s="24">
        <f t="shared" si="24"/>
        <v>167901197.56</v>
      </c>
      <c r="G27" s="23">
        <f t="shared" si="24"/>
        <v>73.205496067249172</v>
      </c>
      <c r="H27" s="23">
        <f t="shared" si="24"/>
        <v>93.30564685304266</v>
      </c>
      <c r="I27" s="23">
        <f t="shared" si="24"/>
        <v>134.44744021953642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74" customFormat="1" ht="22.5" customHeight="1" x14ac:dyDescent="0.25">
      <c r="A28" s="68"/>
      <c r="B28" s="15" t="s">
        <v>38</v>
      </c>
      <c r="C28" s="69">
        <f>C875</f>
        <v>1345000</v>
      </c>
      <c r="D28" s="69">
        <f>D875</f>
        <v>1345000</v>
      </c>
      <c r="E28" s="69">
        <f t="shared" ref="E28:I28" si="25">E875</f>
        <v>663000</v>
      </c>
      <c r="F28" s="70">
        <f t="shared" si="25"/>
        <v>663000</v>
      </c>
      <c r="G28" s="69">
        <f t="shared" si="25"/>
        <v>49.293680297397771</v>
      </c>
      <c r="H28" s="69">
        <f t="shared" si="25"/>
        <v>49.293680297397771</v>
      </c>
      <c r="I28" s="69">
        <f t="shared" si="25"/>
        <v>0</v>
      </c>
      <c r="J28" s="19"/>
      <c r="IP28" s="21"/>
      <c r="IQ28" s="21"/>
      <c r="IR28" s="21"/>
      <c r="IS28" s="21"/>
      <c r="IT28" s="21"/>
      <c r="IU28" s="21"/>
      <c r="IV28" s="21"/>
    </row>
    <row r="29" spans="1:256" s="76" customFormat="1" ht="22.5" customHeight="1" thickBot="1" x14ac:dyDescent="0.3">
      <c r="A29" s="75"/>
      <c r="B29" s="27" t="s">
        <v>39</v>
      </c>
      <c r="C29" s="28">
        <f>C886</f>
        <v>40173636.759999998</v>
      </c>
      <c r="D29" s="28">
        <f>D886</f>
        <v>123835573.97999999</v>
      </c>
      <c r="E29" s="28">
        <f t="shared" ref="E29:I29" si="26">E886</f>
        <v>160525532.59</v>
      </c>
      <c r="F29" s="29">
        <f t="shared" si="26"/>
        <v>160525532.59</v>
      </c>
      <c r="G29" s="28">
        <f t="shared" si="26"/>
        <v>399.57929014241432</v>
      </c>
      <c r="H29" s="28">
        <f t="shared" si="26"/>
        <v>129.62796346058494</v>
      </c>
      <c r="I29" s="28">
        <f t="shared" si="26"/>
        <v>410.94571259617794</v>
      </c>
      <c r="J29" s="19"/>
    </row>
    <row r="30" spans="1:256" s="80" customFormat="1" ht="24" thickBot="1" x14ac:dyDescent="0.4">
      <c r="A30" s="40"/>
      <c r="B30" s="40" t="s">
        <v>40</v>
      </c>
      <c r="C30" s="77">
        <f>C906</f>
        <v>956048864.25</v>
      </c>
      <c r="D30" s="77">
        <f>D906</f>
        <v>1027638497.1799998</v>
      </c>
      <c r="E30" s="77">
        <f t="shared" ref="E30:I30" si="27">E906</f>
        <v>991584683.77999997</v>
      </c>
      <c r="F30" s="78">
        <f t="shared" si="27"/>
        <v>991584683.78000009</v>
      </c>
      <c r="G30" s="79">
        <f t="shared" si="27"/>
        <v>103.71694594897897</v>
      </c>
      <c r="H30" s="77">
        <f t="shared" si="27"/>
        <v>96.491585951778063</v>
      </c>
      <c r="I30" s="77">
        <f t="shared" si="27"/>
        <v>143.21014590228393</v>
      </c>
      <c r="J30" s="34"/>
    </row>
    <row r="31" spans="1:256" ht="22.5" customHeight="1" thickBot="1" x14ac:dyDescent="0.35">
      <c r="A31" s="81"/>
      <c r="B31" s="82" t="s">
        <v>10</v>
      </c>
      <c r="C31" s="83"/>
      <c r="D31" s="83"/>
      <c r="E31" s="84"/>
      <c r="F31" s="85"/>
      <c r="G31" s="84"/>
      <c r="H31" s="84"/>
      <c r="I31" s="84"/>
      <c r="J31" s="19"/>
      <c r="K31" s="14"/>
    </row>
    <row r="32" spans="1:256" s="76" customFormat="1" ht="16.5" thickBot="1" x14ac:dyDescent="0.3">
      <c r="A32" s="86"/>
      <c r="B32" s="87" t="s">
        <v>11</v>
      </c>
      <c r="C32" s="88">
        <f>SUM(C33:C44,C48:C49,C50:C52,C59:C63)</f>
        <v>423738000</v>
      </c>
      <c r="D32" s="88">
        <f>SUM(D33:D44,D48:D49,D50:D52,D59:D63)</f>
        <v>468727793.94</v>
      </c>
      <c r="E32" s="89">
        <v>503798737.32999998</v>
      </c>
      <c r="F32" s="90">
        <f>SUM(E33:E44,E48:E52,E59:E63)</f>
        <v>503798737.32999998</v>
      </c>
      <c r="G32" s="89">
        <f t="shared" ref="G32:G95" si="28">E32/C32*100</f>
        <v>118.89392438959922</v>
      </c>
      <c r="H32" s="89">
        <f t="shared" ref="H32:H95" si="29">E32/D32*100</f>
        <v>107.48215570815698</v>
      </c>
      <c r="I32" s="89">
        <f t="shared" ref="I32:I95" si="30">E32/J32*100</f>
        <v>118.65600694830893</v>
      </c>
      <c r="J32" s="19">
        <v>424587638.06999999</v>
      </c>
      <c r="K32" s="91"/>
    </row>
    <row r="33" spans="1:11" s="21" customFormat="1" ht="12.75" customHeight="1" x14ac:dyDescent="0.2">
      <c r="A33" s="92">
        <v>1111</v>
      </c>
      <c r="B33" s="93" t="s">
        <v>41</v>
      </c>
      <c r="C33" s="94">
        <v>57220000</v>
      </c>
      <c r="D33" s="94">
        <v>57220000</v>
      </c>
      <c r="E33" s="95">
        <v>62153078</v>
      </c>
      <c r="F33" s="96">
        <f>SUM(E33:E34)</f>
        <v>67695828.790000007</v>
      </c>
      <c r="G33" s="95">
        <f t="shared" si="28"/>
        <v>108.62124781544915</v>
      </c>
      <c r="H33" s="95">
        <f t="shared" si="29"/>
        <v>108.62124781544915</v>
      </c>
      <c r="I33" s="95">
        <f t="shared" si="30"/>
        <v>107.10811131081994</v>
      </c>
      <c r="J33" s="19">
        <v>58028357.740000002</v>
      </c>
      <c r="K33" s="20"/>
    </row>
    <row r="34" spans="1:11" s="21" customFormat="1" ht="12.75" customHeight="1" x14ac:dyDescent="0.2">
      <c r="A34" s="97">
        <v>1111</v>
      </c>
      <c r="B34" s="98" t="s">
        <v>42</v>
      </c>
      <c r="C34" s="99">
        <v>5290000</v>
      </c>
      <c r="D34" s="99">
        <v>5290000</v>
      </c>
      <c r="E34" s="100">
        <v>5542750.79</v>
      </c>
      <c r="F34" s="101"/>
      <c r="G34" s="100">
        <f t="shared" si="28"/>
        <v>104.777897731569</v>
      </c>
      <c r="H34" s="100">
        <f t="shared" si="29"/>
        <v>104.777897731569</v>
      </c>
      <c r="I34" s="100">
        <f t="shared" si="30"/>
        <v>102.84116129378707</v>
      </c>
      <c r="J34" s="34">
        <v>5389622.9100000001</v>
      </c>
      <c r="K34" s="20"/>
    </row>
    <row r="35" spans="1:11" s="21" customFormat="1" ht="12.75" customHeight="1" x14ac:dyDescent="0.2">
      <c r="A35" s="97">
        <v>1112</v>
      </c>
      <c r="B35" s="98" t="s">
        <v>43</v>
      </c>
      <c r="C35" s="102">
        <v>3320000</v>
      </c>
      <c r="D35" s="102">
        <v>3320000</v>
      </c>
      <c r="E35" s="100">
        <v>5794543.9299999997</v>
      </c>
      <c r="F35" s="101"/>
      <c r="G35" s="100">
        <f t="shared" si="28"/>
        <v>174.53445572289158</v>
      </c>
      <c r="H35" s="100">
        <f t="shared" si="29"/>
        <v>174.53445572289158</v>
      </c>
      <c r="I35" s="100">
        <f t="shared" si="30"/>
        <v>149.62820661473955</v>
      </c>
      <c r="J35" s="34">
        <v>3872628.07</v>
      </c>
      <c r="K35" s="20"/>
    </row>
    <row r="36" spans="1:11" s="21" customFormat="1" ht="12.75" customHeight="1" x14ac:dyDescent="0.2">
      <c r="A36" s="97">
        <v>1113</v>
      </c>
      <c r="B36" s="98" t="s">
        <v>44</v>
      </c>
      <c r="C36" s="102">
        <v>10160000</v>
      </c>
      <c r="D36" s="102">
        <v>10160000</v>
      </c>
      <c r="E36" s="103">
        <v>12880967.359999999</v>
      </c>
      <c r="F36" s="104"/>
      <c r="G36" s="100">
        <f t="shared" si="28"/>
        <v>126.78117480314961</v>
      </c>
      <c r="H36" s="100">
        <f t="shared" si="29"/>
        <v>126.78117480314961</v>
      </c>
      <c r="I36" s="100">
        <f t="shared" si="30"/>
        <v>128.25544143708629</v>
      </c>
      <c r="J36" s="34">
        <v>10043213.15</v>
      </c>
      <c r="K36" s="20"/>
    </row>
    <row r="37" spans="1:11" s="21" customFormat="1" ht="12.75" customHeight="1" x14ac:dyDescent="0.2">
      <c r="A37" s="97">
        <v>1121</v>
      </c>
      <c r="B37" s="98" t="s">
        <v>45</v>
      </c>
      <c r="C37" s="105">
        <v>85830000</v>
      </c>
      <c r="D37" s="105">
        <v>85830000</v>
      </c>
      <c r="E37" s="100">
        <v>97384869.950000003</v>
      </c>
      <c r="F37" s="101"/>
      <c r="G37" s="100">
        <f t="shared" si="28"/>
        <v>113.46250722358151</v>
      </c>
      <c r="H37" s="100">
        <f t="shared" si="29"/>
        <v>113.46250722358151</v>
      </c>
      <c r="I37" s="100">
        <f t="shared" si="30"/>
        <v>114.92695817007896</v>
      </c>
      <c r="J37" s="19">
        <v>84736315.569999993</v>
      </c>
      <c r="K37" s="20"/>
    </row>
    <row r="38" spans="1:11" s="21" customFormat="1" ht="12.75" customHeight="1" x14ac:dyDescent="0.2">
      <c r="A38" s="97">
        <v>1122</v>
      </c>
      <c r="B38" s="98" t="s">
        <v>46</v>
      </c>
      <c r="C38" s="102">
        <v>20000000</v>
      </c>
      <c r="D38" s="102">
        <f>20000000+17662820-17662820+17622280</f>
        <v>37622280</v>
      </c>
      <c r="E38" s="100">
        <v>37622280</v>
      </c>
      <c r="F38" s="101"/>
      <c r="G38" s="100">
        <f t="shared" si="28"/>
        <v>188.1114</v>
      </c>
      <c r="H38" s="100">
        <f t="shared" si="29"/>
        <v>100</v>
      </c>
      <c r="I38" s="100">
        <f t="shared" si="30"/>
        <v>178.8322420410928</v>
      </c>
      <c r="J38" s="19">
        <v>21037750</v>
      </c>
      <c r="K38" s="20"/>
    </row>
    <row r="39" spans="1:11" s="21" customFormat="1" ht="12.75" customHeight="1" x14ac:dyDescent="0.2">
      <c r="A39" s="97">
        <v>1211</v>
      </c>
      <c r="B39" s="98" t="s">
        <v>47</v>
      </c>
      <c r="C39" s="102">
        <v>194880000</v>
      </c>
      <c r="D39" s="102">
        <f>194880000+5690000+18000000</f>
        <v>218570000</v>
      </c>
      <c r="E39" s="100">
        <v>221272044.84999999</v>
      </c>
      <c r="F39" s="101"/>
      <c r="G39" s="100">
        <f t="shared" si="28"/>
        <v>113.54271595340721</v>
      </c>
      <c r="H39" s="100">
        <f t="shared" si="29"/>
        <v>101.23623774991992</v>
      </c>
      <c r="I39" s="100">
        <f t="shared" si="30"/>
        <v>116.75577977427467</v>
      </c>
      <c r="J39" s="34">
        <v>189516994.59999999</v>
      </c>
    </row>
    <row r="40" spans="1:11" s="21" customFormat="1" ht="12.75" customHeight="1" x14ac:dyDescent="0.2">
      <c r="A40" s="97">
        <v>1334</v>
      </c>
      <c r="B40" s="98" t="s">
        <v>48</v>
      </c>
      <c r="C40" s="106">
        <v>70000</v>
      </c>
      <c r="D40" s="106">
        <v>70000</v>
      </c>
      <c r="E40" s="100">
        <v>40716</v>
      </c>
      <c r="F40" s="101"/>
      <c r="G40" s="100">
        <f t="shared" si="28"/>
        <v>58.165714285714287</v>
      </c>
      <c r="H40" s="100">
        <f t="shared" si="29"/>
        <v>58.165714285714287</v>
      </c>
      <c r="I40" s="100">
        <f t="shared" si="30"/>
        <v>45.944222837830978</v>
      </c>
      <c r="J40" s="34">
        <v>88620.5</v>
      </c>
    </row>
    <row r="41" spans="1:11" s="21" customFormat="1" ht="12.75" customHeight="1" x14ac:dyDescent="0.2">
      <c r="A41" s="97">
        <v>1335</v>
      </c>
      <c r="B41" s="98" t="s">
        <v>49</v>
      </c>
      <c r="C41" s="106">
        <v>5000</v>
      </c>
      <c r="D41" s="106">
        <v>5000</v>
      </c>
      <c r="E41" s="107">
        <v>3631.44</v>
      </c>
      <c r="F41" s="108"/>
      <c r="G41" s="100">
        <f t="shared" si="28"/>
        <v>72.628799999999998</v>
      </c>
      <c r="H41" s="100">
        <f t="shared" si="29"/>
        <v>72.628799999999998</v>
      </c>
      <c r="I41" s="100">
        <f t="shared" si="30"/>
        <v>13.819295503013162</v>
      </c>
      <c r="J41" s="34">
        <v>26278.04</v>
      </c>
    </row>
    <row r="42" spans="1:11" s="21" customFormat="1" ht="12.75" customHeight="1" x14ac:dyDescent="0.2">
      <c r="A42" s="97">
        <v>1336</v>
      </c>
      <c r="B42" s="98" t="s">
        <v>50</v>
      </c>
      <c r="C42" s="106">
        <v>0</v>
      </c>
      <c r="D42" s="106">
        <v>8400</v>
      </c>
      <c r="E42" s="107">
        <v>8400</v>
      </c>
      <c r="F42" s="108"/>
      <c r="G42" s="100">
        <v>0</v>
      </c>
      <c r="H42" s="100">
        <f t="shared" si="29"/>
        <v>100</v>
      </c>
      <c r="I42" s="100">
        <f t="shared" si="30"/>
        <v>300</v>
      </c>
      <c r="J42" s="34">
        <v>2800</v>
      </c>
    </row>
    <row r="43" spans="1:11" s="21" customFormat="1" ht="12.75" customHeight="1" x14ac:dyDescent="0.2">
      <c r="A43" s="97">
        <v>1341</v>
      </c>
      <c r="B43" s="98" t="s">
        <v>51</v>
      </c>
      <c r="C43" s="106">
        <v>600000</v>
      </c>
      <c r="D43" s="106">
        <v>600000</v>
      </c>
      <c r="E43" s="100">
        <v>648269.07999999996</v>
      </c>
      <c r="F43" s="101"/>
      <c r="G43" s="100">
        <f t="shared" si="28"/>
        <v>108.04484666666664</v>
      </c>
      <c r="H43" s="100">
        <f t="shared" si="29"/>
        <v>108.04484666666664</v>
      </c>
      <c r="I43" s="100">
        <f t="shared" si="30"/>
        <v>103.56626672865494</v>
      </c>
      <c r="J43" s="19">
        <v>625946.17000000004</v>
      </c>
    </row>
    <row r="44" spans="1:11" s="21" customFormat="1" ht="12.75" customHeight="1" x14ac:dyDescent="0.2">
      <c r="A44" s="97">
        <v>1343</v>
      </c>
      <c r="B44" s="98" t="s">
        <v>52</v>
      </c>
      <c r="C44" s="109">
        <f>SUM(C45:C47)</f>
        <v>390000</v>
      </c>
      <c r="D44" s="109">
        <f>SUM(D45:D47)</f>
        <v>1013705</v>
      </c>
      <c r="E44" s="100">
        <v>1070220</v>
      </c>
      <c r="F44" s="101">
        <f>SUM(E45:E47)</f>
        <v>1070220</v>
      </c>
      <c r="G44" s="100">
        <f t="shared" si="28"/>
        <v>274.4153846153846</v>
      </c>
      <c r="H44" s="100">
        <f t="shared" si="29"/>
        <v>105.57509334569721</v>
      </c>
      <c r="I44" s="100">
        <f t="shared" si="30"/>
        <v>207.24431405582826</v>
      </c>
      <c r="J44" s="34">
        <v>516405</v>
      </c>
    </row>
    <row r="45" spans="1:11" ht="12.75" customHeight="1" x14ac:dyDescent="0.2">
      <c r="A45" s="110"/>
      <c r="B45" s="111" t="s">
        <v>53</v>
      </c>
      <c r="C45" s="47">
        <v>300000</v>
      </c>
      <c r="D45" s="47">
        <f>300000+54778</f>
        <v>354778</v>
      </c>
      <c r="E45" s="101">
        <v>411293</v>
      </c>
      <c r="F45" s="101"/>
      <c r="G45" s="101">
        <f t="shared" si="28"/>
        <v>137.09766666666667</v>
      </c>
      <c r="H45" s="101">
        <f t="shared" si="29"/>
        <v>115.92967996888194</v>
      </c>
      <c r="I45" s="101">
        <f t="shared" si="30"/>
        <v>132.48882217268616</v>
      </c>
      <c r="J45" s="34">
        <v>310436</v>
      </c>
    </row>
    <row r="46" spans="1:11" ht="12.75" customHeight="1" x14ac:dyDescent="0.2">
      <c r="A46" s="112"/>
      <c r="B46" s="111" t="s">
        <v>54</v>
      </c>
      <c r="C46" s="47">
        <v>60000</v>
      </c>
      <c r="D46" s="47">
        <f>60000+(376840+102090)</f>
        <v>538930</v>
      </c>
      <c r="E46" s="101">
        <v>538930</v>
      </c>
      <c r="F46" s="101"/>
      <c r="G46" s="101">
        <f t="shared" si="28"/>
        <v>898.21666666666658</v>
      </c>
      <c r="H46" s="101">
        <f t="shared" si="29"/>
        <v>100</v>
      </c>
      <c r="I46" s="101">
        <f t="shared" si="30"/>
        <v>871.22326581419043</v>
      </c>
      <c r="J46" s="34">
        <v>61859</v>
      </c>
    </row>
    <row r="47" spans="1:11" ht="12.75" customHeight="1" x14ac:dyDescent="0.2">
      <c r="A47" s="112"/>
      <c r="B47" s="111" t="s">
        <v>55</v>
      </c>
      <c r="C47" s="47">
        <v>30000</v>
      </c>
      <c r="D47" s="47">
        <f>30000+89997</f>
        <v>119997</v>
      </c>
      <c r="E47" s="101">
        <v>119997</v>
      </c>
      <c r="F47" s="101"/>
      <c r="G47" s="101">
        <f t="shared" si="28"/>
        <v>399.98999999999995</v>
      </c>
      <c r="H47" s="101">
        <f t="shared" si="29"/>
        <v>100</v>
      </c>
      <c r="I47" s="101">
        <f t="shared" si="30"/>
        <v>83.267642772881828</v>
      </c>
      <c r="J47" s="19">
        <v>144110</v>
      </c>
    </row>
    <row r="48" spans="1:11" s="21" customFormat="1" ht="26.25" customHeight="1" x14ac:dyDescent="0.2">
      <c r="A48" s="97">
        <v>1345</v>
      </c>
      <c r="B48" s="113" t="s">
        <v>56</v>
      </c>
      <c r="C48" s="114">
        <v>12800000</v>
      </c>
      <c r="D48" s="114">
        <v>12800000</v>
      </c>
      <c r="E48" s="103">
        <v>12519033.68</v>
      </c>
      <c r="F48" s="104"/>
      <c r="G48" s="103">
        <f t="shared" si="28"/>
        <v>97.804950625000004</v>
      </c>
      <c r="H48" s="103">
        <f t="shared" si="29"/>
        <v>97.804950625000004</v>
      </c>
      <c r="I48" s="103">
        <f t="shared" si="30"/>
        <v>99.683492028869097</v>
      </c>
      <c r="J48" s="19">
        <v>12558783.23</v>
      </c>
    </row>
    <row r="49" spans="1:34" s="21" customFormat="1" ht="24.75" x14ac:dyDescent="0.2">
      <c r="A49" s="97">
        <v>1346</v>
      </c>
      <c r="B49" s="113" t="s">
        <v>57</v>
      </c>
      <c r="C49" s="106">
        <v>110000</v>
      </c>
      <c r="D49" s="106">
        <v>110000</v>
      </c>
      <c r="E49" s="103">
        <v>162026</v>
      </c>
      <c r="F49" s="104"/>
      <c r="G49" s="100">
        <f t="shared" si="28"/>
        <v>147.29636363636362</v>
      </c>
      <c r="H49" s="103">
        <f t="shared" si="29"/>
        <v>147.29636363636362</v>
      </c>
      <c r="I49" s="103">
        <f t="shared" si="30"/>
        <v>92.937856348013625</v>
      </c>
      <c r="J49" s="19">
        <v>174338</v>
      </c>
    </row>
    <row r="50" spans="1:34" s="21" customFormat="1" ht="12.75" customHeight="1" x14ac:dyDescent="0.2">
      <c r="A50" s="97">
        <v>1353</v>
      </c>
      <c r="B50" s="98" t="s">
        <v>58</v>
      </c>
      <c r="C50" s="106">
        <v>500000</v>
      </c>
      <c r="D50" s="106">
        <v>500000</v>
      </c>
      <c r="E50" s="100">
        <v>726600</v>
      </c>
      <c r="F50" s="101"/>
      <c r="G50" s="100">
        <f t="shared" si="28"/>
        <v>145.32</v>
      </c>
      <c r="H50" s="100">
        <f t="shared" si="29"/>
        <v>145.32</v>
      </c>
      <c r="I50" s="100">
        <f t="shared" si="30"/>
        <v>123.92972880777759</v>
      </c>
      <c r="J50" s="34">
        <v>586300</v>
      </c>
    </row>
    <row r="51" spans="1:34" s="21" customFormat="1" ht="12.75" customHeight="1" x14ac:dyDescent="0.2">
      <c r="A51" s="97">
        <v>1356</v>
      </c>
      <c r="B51" s="98" t="s">
        <v>59</v>
      </c>
      <c r="C51" s="114">
        <v>250000</v>
      </c>
      <c r="D51" s="114">
        <v>250000</v>
      </c>
      <c r="E51" s="100">
        <v>242547.84</v>
      </c>
      <c r="F51" s="101"/>
      <c r="G51" s="100">
        <f t="shared" si="28"/>
        <v>97.019135999999989</v>
      </c>
      <c r="H51" s="100">
        <f t="shared" si="29"/>
        <v>97.019135999999989</v>
      </c>
      <c r="I51" s="100">
        <f t="shared" si="30"/>
        <v>100</v>
      </c>
      <c r="J51" s="34">
        <v>242547.84</v>
      </c>
    </row>
    <row r="52" spans="1:34" s="21" customFormat="1" ht="12.75" customHeight="1" x14ac:dyDescent="0.2">
      <c r="A52" s="97">
        <v>1361</v>
      </c>
      <c r="B52" s="98" t="s">
        <v>60</v>
      </c>
      <c r="C52" s="109">
        <f>SUM(C53:C58)</f>
        <v>8126000</v>
      </c>
      <c r="D52" s="109">
        <f>SUM(D53:D58)</f>
        <v>8126000</v>
      </c>
      <c r="E52" s="100">
        <v>10785720</v>
      </c>
      <c r="F52" s="101">
        <f>SUM(E53:E58)</f>
        <v>10785720</v>
      </c>
      <c r="G52" s="100">
        <f t="shared" si="28"/>
        <v>132.73098695545164</v>
      </c>
      <c r="H52" s="100">
        <f t="shared" si="29"/>
        <v>132.73098695545164</v>
      </c>
      <c r="I52" s="100">
        <f t="shared" si="30"/>
        <v>116.73356166199747</v>
      </c>
      <c r="J52" s="34">
        <v>9239605</v>
      </c>
    </row>
    <row r="53" spans="1:34" ht="12.75" customHeight="1" x14ac:dyDescent="0.2">
      <c r="A53" s="112"/>
      <c r="B53" s="111" t="s">
        <v>61</v>
      </c>
      <c r="C53" s="47">
        <v>5400000</v>
      </c>
      <c r="D53" s="47">
        <v>5400000</v>
      </c>
      <c r="E53" s="33">
        <v>5993080</v>
      </c>
      <c r="F53" s="33"/>
      <c r="G53" s="101">
        <f t="shared" si="28"/>
        <v>110.98296296296297</v>
      </c>
      <c r="H53" s="101">
        <f t="shared" si="29"/>
        <v>110.98296296296297</v>
      </c>
      <c r="I53" s="101">
        <f t="shared" si="30"/>
        <v>94.73847282292536</v>
      </c>
      <c r="J53" s="34">
        <v>6325920</v>
      </c>
    </row>
    <row r="54" spans="1:34" ht="27.75" customHeight="1" x14ac:dyDescent="0.2">
      <c r="A54" s="110"/>
      <c r="B54" s="115" t="s">
        <v>62</v>
      </c>
      <c r="C54" s="47">
        <v>400000</v>
      </c>
      <c r="D54" s="47">
        <v>400000</v>
      </c>
      <c r="E54" s="47">
        <v>451375</v>
      </c>
      <c r="F54" s="47"/>
      <c r="G54" s="104">
        <f t="shared" si="28"/>
        <v>112.84375</v>
      </c>
      <c r="H54" s="104">
        <f t="shared" si="29"/>
        <v>112.84375</v>
      </c>
      <c r="I54" s="104">
        <f t="shared" si="30"/>
        <v>109.46802963609686</v>
      </c>
      <c r="J54" s="19">
        <v>412335</v>
      </c>
    </row>
    <row r="55" spans="1:34" ht="12.75" customHeight="1" x14ac:dyDescent="0.2">
      <c r="A55" s="112"/>
      <c r="B55" s="111" t="s">
        <v>63</v>
      </c>
      <c r="C55" s="47">
        <v>1000000</v>
      </c>
      <c r="D55" s="47">
        <v>1000000</v>
      </c>
      <c r="E55" s="116">
        <v>1320850</v>
      </c>
      <c r="F55" s="116"/>
      <c r="G55" s="101">
        <f t="shared" si="28"/>
        <v>132.08500000000001</v>
      </c>
      <c r="H55" s="101">
        <f t="shared" si="29"/>
        <v>132.08500000000001</v>
      </c>
      <c r="I55" s="101">
        <f t="shared" si="30"/>
        <v>129.45067868868526</v>
      </c>
      <c r="J55" s="34">
        <v>1020350</v>
      </c>
    </row>
    <row r="56" spans="1:34" s="119" customFormat="1" ht="12.75" customHeight="1" x14ac:dyDescent="0.2">
      <c r="A56" s="117"/>
      <c r="B56" s="111" t="s">
        <v>64</v>
      </c>
      <c r="C56" s="70">
        <f>(170+40+70+820)*1000</f>
        <v>1100000</v>
      </c>
      <c r="D56" s="70">
        <f>(170+40+70+820)*1000</f>
        <v>1100000</v>
      </c>
      <c r="E56" s="70">
        <v>2838515</v>
      </c>
      <c r="F56" s="70"/>
      <c r="G56" s="101">
        <f t="shared" si="28"/>
        <v>258.04681818181814</v>
      </c>
      <c r="H56" s="101">
        <f t="shared" si="29"/>
        <v>258.04681818181814</v>
      </c>
      <c r="I56" s="101">
        <f t="shared" si="30"/>
        <v>229.82996639812154</v>
      </c>
      <c r="J56" s="34">
        <v>1235050</v>
      </c>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row>
    <row r="57" spans="1:34" ht="12.75" customHeight="1" x14ac:dyDescent="0.2">
      <c r="A57" s="112"/>
      <c r="B57" s="111" t="s">
        <v>65</v>
      </c>
      <c r="C57" s="70">
        <v>222000</v>
      </c>
      <c r="D57" s="70">
        <v>222000</v>
      </c>
      <c r="E57" s="70">
        <v>173100</v>
      </c>
      <c r="F57" s="70"/>
      <c r="G57" s="101">
        <f t="shared" si="28"/>
        <v>77.972972972972983</v>
      </c>
      <c r="H57" s="101">
        <f t="shared" si="29"/>
        <v>77.972972972972983</v>
      </c>
      <c r="I57" s="101">
        <f t="shared" si="30"/>
        <v>72.14002917274432</v>
      </c>
      <c r="J57" s="34">
        <v>239950</v>
      </c>
    </row>
    <row r="58" spans="1:34" ht="12.75" customHeight="1" x14ac:dyDescent="0.2">
      <c r="A58" s="112"/>
      <c r="B58" s="111" t="s">
        <v>66</v>
      </c>
      <c r="C58" s="47">
        <v>4000</v>
      </c>
      <c r="D58" s="47">
        <v>4000</v>
      </c>
      <c r="E58" s="70">
        <v>8800</v>
      </c>
      <c r="F58" s="70"/>
      <c r="G58" s="101">
        <f t="shared" si="28"/>
        <v>220.00000000000003</v>
      </c>
      <c r="H58" s="101">
        <f t="shared" si="29"/>
        <v>220.00000000000003</v>
      </c>
      <c r="I58" s="101">
        <f t="shared" si="30"/>
        <v>146.66666666666666</v>
      </c>
      <c r="J58" s="34">
        <v>6000</v>
      </c>
    </row>
    <row r="59" spans="1:34" ht="12.75" customHeight="1" x14ac:dyDescent="0.2">
      <c r="A59" s="120">
        <v>1381</v>
      </c>
      <c r="B59" s="98" t="s">
        <v>67</v>
      </c>
      <c r="C59" s="106">
        <v>2300000</v>
      </c>
      <c r="D59" s="106">
        <v>2300000</v>
      </c>
      <c r="E59" s="114">
        <v>3129257.47</v>
      </c>
      <c r="F59" s="70"/>
      <c r="G59" s="100">
        <f t="shared" si="28"/>
        <v>136.05467260869565</v>
      </c>
      <c r="H59" s="100">
        <f t="shared" si="29"/>
        <v>136.05467260869565</v>
      </c>
      <c r="I59" s="100">
        <f t="shared" si="30"/>
        <v>111.9242448445323</v>
      </c>
      <c r="J59" s="34">
        <v>2795870.97</v>
      </c>
    </row>
    <row r="60" spans="1:34" ht="12.75" customHeight="1" x14ac:dyDescent="0.2">
      <c r="A60" s="120">
        <v>1382</v>
      </c>
      <c r="B60" s="98" t="s">
        <v>68</v>
      </c>
      <c r="C60" s="106">
        <v>0</v>
      </c>
      <c r="D60" s="106">
        <v>2248.71</v>
      </c>
      <c r="E60" s="114">
        <v>2248.71</v>
      </c>
      <c r="F60" s="70"/>
      <c r="G60" s="100">
        <v>0</v>
      </c>
      <c r="H60" s="100">
        <f t="shared" si="29"/>
        <v>100</v>
      </c>
      <c r="I60" s="100">
        <f t="shared" si="30"/>
        <v>1586.1677364745715</v>
      </c>
      <c r="J60" s="34">
        <v>141.77000000000001</v>
      </c>
    </row>
    <row r="61" spans="1:34" ht="12.75" customHeight="1" x14ac:dyDescent="0.2">
      <c r="A61" s="120">
        <v>1383</v>
      </c>
      <c r="B61" s="98" t="s">
        <v>69</v>
      </c>
      <c r="C61" s="106">
        <v>0</v>
      </c>
      <c r="D61" s="106">
        <f>21871.8+21288.43</f>
        <v>43160.229999999996</v>
      </c>
      <c r="E61" s="114">
        <v>43160.23</v>
      </c>
      <c r="F61" s="70"/>
      <c r="G61" s="100">
        <v>0</v>
      </c>
      <c r="H61" s="100">
        <f t="shared" si="29"/>
        <v>100.00000000000003</v>
      </c>
      <c r="I61" s="100">
        <f t="shared" si="30"/>
        <v>214.46023736586994</v>
      </c>
      <c r="J61" s="34">
        <v>20125.05</v>
      </c>
    </row>
    <row r="62" spans="1:34" ht="12.75" customHeight="1" x14ac:dyDescent="0.2">
      <c r="A62" s="120">
        <v>1385</v>
      </c>
      <c r="B62" s="98" t="s">
        <v>70</v>
      </c>
      <c r="C62" s="106">
        <v>10000000</v>
      </c>
      <c r="D62" s="106">
        <f>10000000+3000000</f>
        <v>13000000</v>
      </c>
      <c r="E62" s="109">
        <v>18455004.27</v>
      </c>
      <c r="F62" s="33"/>
      <c r="G62" s="100">
        <f t="shared" si="28"/>
        <v>184.55004270000001</v>
      </c>
      <c r="H62" s="100">
        <f t="shared" si="29"/>
        <v>141.96157130769231</v>
      </c>
      <c r="I62" s="100">
        <f t="shared" si="30"/>
        <v>168.01350378158389</v>
      </c>
      <c r="J62" s="34">
        <v>10984238.68</v>
      </c>
    </row>
    <row r="63" spans="1:34" s="21" customFormat="1" ht="12.75" customHeight="1" x14ac:dyDescent="0.2">
      <c r="A63" s="97">
        <v>1511</v>
      </c>
      <c r="B63" s="98" t="s">
        <v>71</v>
      </c>
      <c r="C63" s="114">
        <v>11887000</v>
      </c>
      <c r="D63" s="114">
        <v>11887000</v>
      </c>
      <c r="E63" s="114">
        <v>13311367.73</v>
      </c>
      <c r="F63" s="70"/>
      <c r="G63" s="100">
        <f t="shared" si="28"/>
        <v>111.98256692184741</v>
      </c>
      <c r="H63" s="100">
        <f t="shared" si="29"/>
        <v>111.98256692184741</v>
      </c>
      <c r="I63" s="100">
        <f t="shared" si="30"/>
        <v>94.401803262775189</v>
      </c>
      <c r="J63" s="34">
        <v>14100755.779999999</v>
      </c>
    </row>
    <row r="64" spans="1:34" s="21" customFormat="1" ht="12.75" customHeight="1" thickBot="1" x14ac:dyDescent="0.25">
      <c r="A64" s="121"/>
      <c r="B64" s="122"/>
      <c r="C64" s="123"/>
      <c r="D64" s="123"/>
      <c r="E64" s="124"/>
      <c r="F64" s="125"/>
      <c r="G64" s="126"/>
      <c r="H64" s="126"/>
      <c r="I64" s="126"/>
      <c r="J64" s="34"/>
    </row>
    <row r="65" spans="1:13" s="76" customFormat="1" ht="18.75" customHeight="1" thickBot="1" x14ac:dyDescent="0.3">
      <c r="A65" s="86"/>
      <c r="B65" s="86" t="s">
        <v>12</v>
      </c>
      <c r="C65" s="127">
        <f>SUM(C66,C76:C80,C92:C93,C109:C110,C126:C129,C148:C149)</f>
        <v>153981442.63999999</v>
      </c>
      <c r="D65" s="127">
        <f>SUM(D66,D76:D80,D92:D93,D109:D110,D126:D129,D148:D149)</f>
        <v>144448161.81</v>
      </c>
      <c r="E65" s="128">
        <v>149220274.52000001</v>
      </c>
      <c r="F65" s="129">
        <f>SUM(E66,E76:E80,E92:E93,E109:E110,E126:E129,E148:E149)</f>
        <v>149220274.52000004</v>
      </c>
      <c r="G65" s="89">
        <f t="shared" si="28"/>
        <v>96.907959791537138</v>
      </c>
      <c r="H65" s="89">
        <f t="shared" si="29"/>
        <v>103.3036853153431</v>
      </c>
      <c r="I65" s="89">
        <f t="shared" si="30"/>
        <v>109.59186111390619</v>
      </c>
      <c r="J65" s="19">
        <v>136159996.74000001</v>
      </c>
    </row>
    <row r="66" spans="1:13" s="21" customFormat="1" ht="12.75" customHeight="1" x14ac:dyDescent="0.2">
      <c r="A66" s="130">
        <v>2111</v>
      </c>
      <c r="B66" s="93" t="s">
        <v>72</v>
      </c>
      <c r="C66" s="131">
        <f>SUM(C67:C75)</f>
        <v>13205692</v>
      </c>
      <c r="D66" s="131">
        <f>SUM(D67:D75)</f>
        <v>14950692</v>
      </c>
      <c r="E66" s="106">
        <v>15585642.390000001</v>
      </c>
      <c r="F66" s="47">
        <f>SUM(E68:E75)</f>
        <v>15583984.390000001</v>
      </c>
      <c r="G66" s="100">
        <f t="shared" si="28"/>
        <v>118.02215582492761</v>
      </c>
      <c r="H66" s="106">
        <f t="shared" si="29"/>
        <v>104.24696321748854</v>
      </c>
      <c r="I66" s="100">
        <f t="shared" si="30"/>
        <v>163.45984214899991</v>
      </c>
      <c r="J66" s="19">
        <v>9534844.8800000008</v>
      </c>
    </row>
    <row r="67" spans="1:13" ht="12.75" customHeight="1" x14ac:dyDescent="0.2">
      <c r="A67" s="132"/>
      <c r="B67" s="133" t="s">
        <v>73</v>
      </c>
      <c r="C67" s="47">
        <v>0</v>
      </c>
      <c r="D67" s="47">
        <v>0</v>
      </c>
      <c r="E67" s="104">
        <v>1658</v>
      </c>
      <c r="F67" s="104"/>
      <c r="G67" s="47">
        <v>0</v>
      </c>
      <c r="H67" s="47">
        <v>0</v>
      </c>
      <c r="I67" s="47">
        <f t="shared" si="30"/>
        <v>145.43859649122808</v>
      </c>
      <c r="J67" s="134">
        <v>1140</v>
      </c>
      <c r="M67" s="8">
        <f>SUM(M65:M66)</f>
        <v>0</v>
      </c>
    </row>
    <row r="68" spans="1:13" ht="12.75" customHeight="1" x14ac:dyDescent="0.2">
      <c r="A68" s="135"/>
      <c r="B68" s="111" t="s">
        <v>74</v>
      </c>
      <c r="C68" s="47">
        <v>700000</v>
      </c>
      <c r="D68" s="47">
        <v>700000</v>
      </c>
      <c r="E68" s="70">
        <v>958867.04</v>
      </c>
      <c r="F68" s="70"/>
      <c r="G68" s="100">
        <f t="shared" si="28"/>
        <v>136.98100571428574</v>
      </c>
      <c r="H68" s="106">
        <f t="shared" si="29"/>
        <v>136.98100571428574</v>
      </c>
      <c r="I68" s="100">
        <f t="shared" si="30"/>
        <v>175.82078711377278</v>
      </c>
      <c r="J68" s="19">
        <v>545366.14</v>
      </c>
    </row>
    <row r="69" spans="1:13" ht="12.75" customHeight="1" x14ac:dyDescent="0.2">
      <c r="A69" s="111"/>
      <c r="B69" s="111" t="s">
        <v>75</v>
      </c>
      <c r="C69" s="47">
        <v>790000</v>
      </c>
      <c r="D69" s="47">
        <f>790000+70000</f>
        <v>860000</v>
      </c>
      <c r="E69" s="70">
        <v>1074010.25</v>
      </c>
      <c r="F69" s="70"/>
      <c r="G69" s="100">
        <f t="shared" si="28"/>
        <v>135.95066455696204</v>
      </c>
      <c r="H69" s="106">
        <f t="shared" si="29"/>
        <v>124.88491279069767</v>
      </c>
      <c r="I69" s="100">
        <f t="shared" si="30"/>
        <v>193.91401263086766</v>
      </c>
      <c r="J69" s="34">
        <v>553859.02</v>
      </c>
    </row>
    <row r="70" spans="1:13" ht="12.75" customHeight="1" x14ac:dyDescent="0.2">
      <c r="A70" s="53"/>
      <c r="B70" s="111" t="s">
        <v>76</v>
      </c>
      <c r="C70" s="47">
        <v>4950000</v>
      </c>
      <c r="D70" s="47">
        <v>4950000</v>
      </c>
      <c r="E70" s="70">
        <v>6281232.6799999997</v>
      </c>
      <c r="F70" s="70"/>
      <c r="G70" s="101">
        <f t="shared" si="28"/>
        <v>126.89358949494948</v>
      </c>
      <c r="H70" s="47">
        <f t="shared" si="29"/>
        <v>126.89358949494948</v>
      </c>
      <c r="I70" s="101">
        <f t="shared" si="30"/>
        <v>270.91980015546102</v>
      </c>
      <c r="J70" s="34">
        <v>2318484.17</v>
      </c>
    </row>
    <row r="71" spans="1:13" ht="12.75" customHeight="1" x14ac:dyDescent="0.2">
      <c r="A71" s="53"/>
      <c r="B71" s="111" t="s">
        <v>77</v>
      </c>
      <c r="C71" s="47">
        <v>1598000</v>
      </c>
      <c r="D71" s="47">
        <v>1598000</v>
      </c>
      <c r="E71" s="70">
        <v>1530696.42</v>
      </c>
      <c r="F71" s="70"/>
      <c r="G71" s="101">
        <f t="shared" si="28"/>
        <v>95.788261576971209</v>
      </c>
      <c r="H71" s="47">
        <f t="shared" si="29"/>
        <v>95.788261576971209</v>
      </c>
      <c r="I71" s="101">
        <f t="shared" si="30"/>
        <v>172.05398396051166</v>
      </c>
      <c r="J71" s="34">
        <v>889660.55</v>
      </c>
    </row>
    <row r="72" spans="1:13" ht="12.75" customHeight="1" x14ac:dyDescent="0.2">
      <c r="A72" s="53"/>
      <c r="B72" s="111" t="s">
        <v>78</v>
      </c>
      <c r="C72" s="47">
        <v>2616192</v>
      </c>
      <c r="D72" s="47">
        <f>2616192</f>
        <v>2616192</v>
      </c>
      <c r="E72" s="33">
        <v>2559168</v>
      </c>
      <c r="F72" s="33"/>
      <c r="G72" s="101">
        <f t="shared" si="28"/>
        <v>97.820343461030376</v>
      </c>
      <c r="H72" s="47">
        <f t="shared" si="29"/>
        <v>97.820343461030376</v>
      </c>
      <c r="I72" s="101">
        <f t="shared" si="30"/>
        <v>97.858047464346669</v>
      </c>
      <c r="J72" s="19">
        <v>2615184</v>
      </c>
    </row>
    <row r="73" spans="1:13" ht="12.75" customHeight="1" x14ac:dyDescent="0.2">
      <c r="A73" s="53"/>
      <c r="B73" s="111" t="s">
        <v>79</v>
      </c>
      <c r="C73" s="47">
        <v>2500000</v>
      </c>
      <c r="D73" s="47">
        <f>2500000+(1125000+550000)</f>
        <v>4175000</v>
      </c>
      <c r="E73" s="70">
        <v>3126267</v>
      </c>
      <c r="F73" s="70"/>
      <c r="G73" s="100">
        <f t="shared" si="28"/>
        <v>125.05067999999999</v>
      </c>
      <c r="H73" s="106">
        <f t="shared" si="29"/>
        <v>74.88064670658683</v>
      </c>
      <c r="I73" s="100">
        <f t="shared" si="30"/>
        <v>122.16566453266246</v>
      </c>
      <c r="J73" s="19">
        <v>2559039</v>
      </c>
    </row>
    <row r="74" spans="1:13" ht="12.75" customHeight="1" x14ac:dyDescent="0.2">
      <c r="A74" s="53"/>
      <c r="B74" s="111" t="s">
        <v>80</v>
      </c>
      <c r="C74" s="47">
        <v>51000</v>
      </c>
      <c r="D74" s="47">
        <v>51000</v>
      </c>
      <c r="E74" s="70">
        <v>51600</v>
      </c>
      <c r="F74" s="70"/>
      <c r="G74" s="101">
        <f t="shared" si="28"/>
        <v>101.17647058823529</v>
      </c>
      <c r="H74" s="47">
        <f t="shared" si="29"/>
        <v>101.17647058823529</v>
      </c>
      <c r="I74" s="101">
        <f t="shared" si="30"/>
        <v>104.8780487804878</v>
      </c>
      <c r="J74" s="19">
        <v>49200</v>
      </c>
    </row>
    <row r="75" spans="1:13" ht="12.75" customHeight="1" x14ac:dyDescent="0.2">
      <c r="A75" s="53"/>
      <c r="B75" s="111" t="s">
        <v>81</v>
      </c>
      <c r="C75" s="47">
        <v>500</v>
      </c>
      <c r="D75" s="47">
        <v>500</v>
      </c>
      <c r="E75" s="70">
        <v>2143</v>
      </c>
      <c r="F75" s="70"/>
      <c r="G75" s="101">
        <f t="shared" si="28"/>
        <v>428.59999999999997</v>
      </c>
      <c r="H75" s="47">
        <f t="shared" si="29"/>
        <v>428.59999999999997</v>
      </c>
      <c r="I75" s="101">
        <f t="shared" si="30"/>
        <v>73.592032967032978</v>
      </c>
      <c r="J75" s="34">
        <v>2912</v>
      </c>
    </row>
    <row r="76" spans="1:13" s="21" customFormat="1" ht="24.75" x14ac:dyDescent="0.2">
      <c r="A76" s="136">
        <v>2119</v>
      </c>
      <c r="B76" s="137" t="s">
        <v>82</v>
      </c>
      <c r="C76" s="126">
        <f>1000000+900000</f>
        <v>1900000</v>
      </c>
      <c r="D76" s="126">
        <f>1000000+900000</f>
        <v>1900000</v>
      </c>
      <c r="E76" s="114">
        <v>1572191.52</v>
      </c>
      <c r="F76" s="70"/>
      <c r="G76" s="138">
        <f t="shared" si="28"/>
        <v>82.746922105263153</v>
      </c>
      <c r="H76" s="106">
        <f t="shared" si="29"/>
        <v>82.746922105263153</v>
      </c>
      <c r="I76" s="103">
        <f t="shared" si="30"/>
        <v>235.34527232777342</v>
      </c>
      <c r="J76" s="19">
        <v>668036.16</v>
      </c>
    </row>
    <row r="77" spans="1:13" s="21" customFormat="1" ht="12.75" customHeight="1" x14ac:dyDescent="0.2">
      <c r="A77" s="135">
        <v>2122</v>
      </c>
      <c r="B77" s="98" t="s">
        <v>83</v>
      </c>
      <c r="C77" s="139">
        <f>3144751.36+25236</f>
        <v>3169987.36</v>
      </c>
      <c r="D77" s="139">
        <f>(3144751.36+25236)+600000+(28544+35457+51351+1136+9481.5)</f>
        <v>3895956.86</v>
      </c>
      <c r="E77" s="114">
        <v>3895956.86</v>
      </c>
      <c r="F77" s="70"/>
      <c r="G77" s="100">
        <f t="shared" si="28"/>
        <v>122.90133737315597</v>
      </c>
      <c r="H77" s="106">
        <f t="shared" si="29"/>
        <v>100</v>
      </c>
      <c r="I77" s="100">
        <f t="shared" si="30"/>
        <v>93.655644244057612</v>
      </c>
      <c r="J77" s="19">
        <v>4159874.07</v>
      </c>
    </row>
    <row r="78" spans="1:13" s="21" customFormat="1" ht="12.75" customHeight="1" x14ac:dyDescent="0.2">
      <c r="A78" s="135">
        <v>2123</v>
      </c>
      <c r="B78" s="98" t="s">
        <v>84</v>
      </c>
      <c r="C78" s="139">
        <v>0</v>
      </c>
      <c r="D78" s="139">
        <v>125931.94</v>
      </c>
      <c r="E78" s="114">
        <v>125931.94</v>
      </c>
      <c r="F78" s="70"/>
      <c r="G78" s="100">
        <v>0</v>
      </c>
      <c r="H78" s="106">
        <f t="shared" si="29"/>
        <v>100</v>
      </c>
      <c r="I78" s="100">
        <f t="shared" si="30"/>
        <v>132.13598895333709</v>
      </c>
      <c r="J78" s="19">
        <v>95304.8</v>
      </c>
    </row>
    <row r="79" spans="1:13" s="21" customFormat="1" ht="27" customHeight="1" x14ac:dyDescent="0.2">
      <c r="A79" s="130">
        <v>2131</v>
      </c>
      <c r="B79" s="140" t="s">
        <v>85</v>
      </c>
      <c r="C79" s="106">
        <v>1350000</v>
      </c>
      <c r="D79" s="106">
        <v>1350000</v>
      </c>
      <c r="E79" s="114">
        <v>1706438.15</v>
      </c>
      <c r="F79" s="70"/>
      <c r="G79" s="103">
        <f t="shared" si="28"/>
        <v>126.40282592592591</v>
      </c>
      <c r="H79" s="106">
        <f t="shared" si="29"/>
        <v>126.40282592592591</v>
      </c>
      <c r="I79" s="103">
        <f t="shared" si="30"/>
        <v>122.80182434353138</v>
      </c>
      <c r="J79" s="19">
        <v>1389586.97</v>
      </c>
    </row>
    <row r="80" spans="1:13" s="21" customFormat="1" ht="12.75" customHeight="1" x14ac:dyDescent="0.2">
      <c r="A80" s="135">
        <v>2132</v>
      </c>
      <c r="B80" s="98" t="s">
        <v>86</v>
      </c>
      <c r="C80" s="114">
        <f>SUM(C81:C91)</f>
        <v>93089763.280000001</v>
      </c>
      <c r="D80" s="114">
        <f>SUM(D81:D91)</f>
        <v>93089763.280000001</v>
      </c>
      <c r="E80" s="114">
        <v>97174825</v>
      </c>
      <c r="F80" s="70">
        <f>SUM(E81:E91)</f>
        <v>97174825</v>
      </c>
      <c r="G80" s="100">
        <f t="shared" si="28"/>
        <v>104.38830390803847</v>
      </c>
      <c r="H80" s="106">
        <f t="shared" si="29"/>
        <v>104.38830390803847</v>
      </c>
      <c r="I80" s="100">
        <f t="shared" si="30"/>
        <v>99.126299508330931</v>
      </c>
      <c r="J80" s="34">
        <v>98031325.170000002</v>
      </c>
    </row>
    <row r="81" spans="1:10" ht="12.75" customHeight="1" x14ac:dyDescent="0.2">
      <c r="A81" s="53"/>
      <c r="B81" s="111" t="s">
        <v>87</v>
      </c>
      <c r="C81" s="47">
        <v>750000</v>
      </c>
      <c r="D81" s="47">
        <v>750000</v>
      </c>
      <c r="E81" s="70">
        <v>682040.5</v>
      </c>
      <c r="F81" s="70"/>
      <c r="G81" s="101">
        <f t="shared" si="28"/>
        <v>90.938733333333332</v>
      </c>
      <c r="H81" s="47">
        <f t="shared" si="29"/>
        <v>90.938733333333332</v>
      </c>
      <c r="I81" s="101">
        <f t="shared" si="30"/>
        <v>97.117374357301287</v>
      </c>
      <c r="J81" s="34">
        <v>702284.74</v>
      </c>
    </row>
    <row r="82" spans="1:10" ht="12.75" customHeight="1" x14ac:dyDescent="0.2">
      <c r="A82" s="53"/>
      <c r="B82" s="111" t="s">
        <v>88</v>
      </c>
      <c r="C82" s="47">
        <v>0</v>
      </c>
      <c r="D82" s="47">
        <v>0</v>
      </c>
      <c r="E82" s="70">
        <v>7588.71</v>
      </c>
      <c r="F82" s="70"/>
      <c r="G82" s="101">
        <v>0</v>
      </c>
      <c r="H82" s="47">
        <v>0</v>
      </c>
      <c r="I82" s="101">
        <f t="shared" si="30"/>
        <v>51.072468605955699</v>
      </c>
      <c r="J82" s="19">
        <v>14858.71</v>
      </c>
    </row>
    <row r="83" spans="1:10" ht="12.75" customHeight="1" x14ac:dyDescent="0.2">
      <c r="A83" s="53"/>
      <c r="B83" s="111" t="s">
        <v>89</v>
      </c>
      <c r="C83" s="47">
        <v>600000</v>
      </c>
      <c r="D83" s="47">
        <v>600000</v>
      </c>
      <c r="E83" s="70">
        <v>928862.41</v>
      </c>
      <c r="F83" s="70"/>
      <c r="G83" s="101">
        <f t="shared" si="28"/>
        <v>154.81040166666668</v>
      </c>
      <c r="H83" s="47">
        <f t="shared" si="29"/>
        <v>154.81040166666668</v>
      </c>
      <c r="I83" s="101">
        <f t="shared" si="30"/>
        <v>83.669503059604722</v>
      </c>
      <c r="J83" s="34">
        <v>1110156.48</v>
      </c>
    </row>
    <row r="84" spans="1:10" ht="12.75" customHeight="1" x14ac:dyDescent="0.2">
      <c r="A84" s="53"/>
      <c r="B84" s="111" t="s">
        <v>90</v>
      </c>
      <c r="C84" s="47">
        <v>278000</v>
      </c>
      <c r="D84" s="47">
        <v>278000</v>
      </c>
      <c r="E84" s="70">
        <v>277560</v>
      </c>
      <c r="F84" s="70"/>
      <c r="G84" s="101">
        <f t="shared" si="28"/>
        <v>99.841726618705039</v>
      </c>
      <c r="H84" s="47">
        <f t="shared" si="29"/>
        <v>99.841726618705039</v>
      </c>
      <c r="I84" s="101">
        <f t="shared" si="30"/>
        <v>100</v>
      </c>
      <c r="J84" s="34">
        <v>277560</v>
      </c>
    </row>
    <row r="85" spans="1:10" ht="25.5" customHeight="1" x14ac:dyDescent="0.2">
      <c r="A85" s="53"/>
      <c r="B85" s="115" t="s">
        <v>91</v>
      </c>
      <c r="C85" s="141">
        <v>55311650</v>
      </c>
      <c r="D85" s="141">
        <f>55311650+513800-513800</f>
        <v>55311650</v>
      </c>
      <c r="E85" s="70">
        <v>58318124.600000001</v>
      </c>
      <c r="F85" s="70"/>
      <c r="G85" s="104">
        <f t="shared" si="28"/>
        <v>105.43551783394638</v>
      </c>
      <c r="H85" s="47">
        <f t="shared" si="29"/>
        <v>105.43551783394638</v>
      </c>
      <c r="I85" s="104">
        <f t="shared" si="30"/>
        <v>99.299290818982158</v>
      </c>
      <c r="J85" s="19">
        <v>58729648.640000001</v>
      </c>
    </row>
    <row r="86" spans="1:10" ht="24.75" x14ac:dyDescent="0.2">
      <c r="A86" s="53"/>
      <c r="B86" s="115" t="s">
        <v>92</v>
      </c>
      <c r="C86" s="47">
        <v>243360.28</v>
      </c>
      <c r="D86" s="47">
        <v>243360.28</v>
      </c>
      <c r="E86" s="70">
        <v>129990.88</v>
      </c>
      <c r="F86" s="70">
        <f>SUM(E86:E88)</f>
        <v>18034472.780000001</v>
      </c>
      <c r="G86" s="101">
        <f t="shared" si="28"/>
        <v>53.414994427192475</v>
      </c>
      <c r="H86" s="47">
        <f t="shared" si="29"/>
        <v>53.414994427192475</v>
      </c>
      <c r="I86" s="101">
        <f t="shared" si="30"/>
        <v>8.1973743872182521</v>
      </c>
      <c r="J86" s="19">
        <v>1585762.39</v>
      </c>
    </row>
    <row r="87" spans="1:10" ht="12.75" customHeight="1" x14ac:dyDescent="0.2">
      <c r="A87" s="53"/>
      <c r="B87" s="111" t="s">
        <v>93</v>
      </c>
      <c r="C87" s="47">
        <v>400000</v>
      </c>
      <c r="D87" s="47">
        <v>400000</v>
      </c>
      <c r="E87" s="24">
        <v>543128.73</v>
      </c>
      <c r="F87" s="142"/>
      <c r="G87" s="101">
        <f t="shared" si="28"/>
        <v>135.7821825</v>
      </c>
      <c r="H87" s="47">
        <f t="shared" si="29"/>
        <v>135.7821825</v>
      </c>
      <c r="I87" s="101">
        <f t="shared" si="30"/>
        <v>123.949184572299</v>
      </c>
      <c r="J87" s="34">
        <v>438186.61</v>
      </c>
    </row>
    <row r="88" spans="1:10" ht="36.75" customHeight="1" x14ac:dyDescent="0.2">
      <c r="A88" s="53"/>
      <c r="B88" s="143" t="s">
        <v>94</v>
      </c>
      <c r="C88" s="47">
        <v>16586215</v>
      </c>
      <c r="D88" s="47">
        <v>16586215</v>
      </c>
      <c r="E88" s="70">
        <v>17361353.170000002</v>
      </c>
      <c r="F88" s="70"/>
      <c r="G88" s="104">
        <f t="shared" si="28"/>
        <v>104.67338793088116</v>
      </c>
      <c r="H88" s="47">
        <f t="shared" si="29"/>
        <v>104.67338793088116</v>
      </c>
      <c r="I88" s="104">
        <f t="shared" si="30"/>
        <v>106.78953557160207</v>
      </c>
      <c r="J88" s="19">
        <v>16257541.6</v>
      </c>
    </row>
    <row r="89" spans="1:10" ht="12.75" customHeight="1" x14ac:dyDescent="0.2">
      <c r="A89" s="53"/>
      <c r="B89" s="111" t="s">
        <v>95</v>
      </c>
      <c r="C89" s="47">
        <v>18881538</v>
      </c>
      <c r="D89" s="47">
        <v>18881538</v>
      </c>
      <c r="E89" s="70">
        <v>18881538</v>
      </c>
      <c r="F89" s="70"/>
      <c r="G89" s="101">
        <f t="shared" si="28"/>
        <v>100</v>
      </c>
      <c r="H89" s="47">
        <f t="shared" si="29"/>
        <v>100</v>
      </c>
      <c r="I89" s="101">
        <f t="shared" si="30"/>
        <v>100</v>
      </c>
      <c r="J89" s="34">
        <v>18881538</v>
      </c>
    </row>
    <row r="90" spans="1:10" ht="12.75" customHeight="1" x14ac:dyDescent="0.2">
      <c r="A90" s="53"/>
      <c r="B90" s="111" t="s">
        <v>96</v>
      </c>
      <c r="C90" s="47">
        <v>18000</v>
      </c>
      <c r="D90" s="47">
        <v>18000</v>
      </c>
      <c r="E90" s="47">
        <v>19250</v>
      </c>
      <c r="F90" s="47"/>
      <c r="G90" s="101">
        <f t="shared" si="28"/>
        <v>106.94444444444444</v>
      </c>
      <c r="H90" s="47">
        <f t="shared" si="29"/>
        <v>106.94444444444444</v>
      </c>
      <c r="I90" s="101">
        <f t="shared" si="30"/>
        <v>118.09815950920246</v>
      </c>
      <c r="J90" s="34">
        <v>16300</v>
      </c>
    </row>
    <row r="91" spans="1:10" ht="12.75" customHeight="1" x14ac:dyDescent="0.2">
      <c r="A91" s="53"/>
      <c r="B91" s="111" t="s">
        <v>97</v>
      </c>
      <c r="C91" s="47">
        <v>21000</v>
      </c>
      <c r="D91" s="47">
        <v>21000</v>
      </c>
      <c r="E91" s="47">
        <v>25388</v>
      </c>
      <c r="F91" s="47"/>
      <c r="G91" s="101">
        <f t="shared" si="28"/>
        <v>120.8952380952381</v>
      </c>
      <c r="H91" s="47">
        <f t="shared" si="29"/>
        <v>120.8952380952381</v>
      </c>
      <c r="I91" s="101">
        <f t="shared" si="30"/>
        <v>145.17383348581885</v>
      </c>
      <c r="J91" s="34">
        <v>17488</v>
      </c>
    </row>
    <row r="92" spans="1:10" s="21" customFormat="1" ht="12.75" customHeight="1" x14ac:dyDescent="0.2">
      <c r="A92" s="144">
        <v>2141</v>
      </c>
      <c r="B92" s="98" t="s">
        <v>98</v>
      </c>
      <c r="C92" s="106">
        <v>300000</v>
      </c>
      <c r="D92" s="106">
        <v>300000</v>
      </c>
      <c r="E92" s="114">
        <v>1343811.54</v>
      </c>
      <c r="F92" s="145"/>
      <c r="G92" s="100">
        <f t="shared" si="28"/>
        <v>447.93718000000001</v>
      </c>
      <c r="H92" s="114">
        <f t="shared" si="29"/>
        <v>447.93718000000001</v>
      </c>
      <c r="I92" s="100">
        <f t="shared" si="30"/>
        <v>519.86418500383047</v>
      </c>
      <c r="J92" s="34">
        <v>258492.81</v>
      </c>
    </row>
    <row r="93" spans="1:10" s="21" customFormat="1" ht="12.75" customHeight="1" x14ac:dyDescent="0.2">
      <c r="A93" s="144">
        <v>2212</v>
      </c>
      <c r="B93" s="98" t="s">
        <v>99</v>
      </c>
      <c r="C93" s="114">
        <f>SUM(C94:C108)</f>
        <v>13427000</v>
      </c>
      <c r="D93" s="114">
        <f>SUM(D94:D108)</f>
        <v>13427000</v>
      </c>
      <c r="E93" s="106">
        <v>11080029.41</v>
      </c>
      <c r="F93" s="134">
        <f>SUM(E94:E108)</f>
        <v>11080029.410000002</v>
      </c>
      <c r="G93" s="100">
        <f t="shared" si="28"/>
        <v>82.520513964400095</v>
      </c>
      <c r="H93" s="106">
        <f t="shared" si="29"/>
        <v>82.520513964400095</v>
      </c>
      <c r="I93" s="100">
        <f t="shared" si="30"/>
        <v>102.60504042052332</v>
      </c>
      <c r="J93" s="34">
        <v>10798718.43</v>
      </c>
    </row>
    <row r="94" spans="1:10" ht="12.75" customHeight="1" x14ac:dyDescent="0.2">
      <c r="A94" s="117"/>
      <c r="B94" s="111" t="s">
        <v>100</v>
      </c>
      <c r="C94" s="47">
        <v>12000</v>
      </c>
      <c r="D94" s="47">
        <v>12000</v>
      </c>
      <c r="E94" s="104">
        <v>16900</v>
      </c>
      <c r="F94" s="104"/>
      <c r="G94" s="101">
        <f t="shared" si="28"/>
        <v>140.83333333333334</v>
      </c>
      <c r="H94" s="47">
        <f t="shared" si="29"/>
        <v>140.83333333333334</v>
      </c>
      <c r="I94" s="101">
        <f t="shared" si="30"/>
        <v>198.8235294117647</v>
      </c>
      <c r="J94" s="34">
        <v>8500</v>
      </c>
    </row>
    <row r="95" spans="1:10" ht="12.75" customHeight="1" x14ac:dyDescent="0.2">
      <c r="A95" s="146"/>
      <c r="B95" s="111" t="s">
        <v>101</v>
      </c>
      <c r="C95" s="47">
        <v>55000</v>
      </c>
      <c r="D95" s="47">
        <v>55000</v>
      </c>
      <c r="E95" s="70">
        <v>98200</v>
      </c>
      <c r="F95" s="70"/>
      <c r="G95" s="101">
        <f t="shared" si="28"/>
        <v>178.54545454545453</v>
      </c>
      <c r="H95" s="47">
        <f t="shared" si="29"/>
        <v>178.54545454545453</v>
      </c>
      <c r="I95" s="101">
        <f t="shared" si="30"/>
        <v>117.4641148325359</v>
      </c>
      <c r="J95" s="34">
        <v>83600</v>
      </c>
    </row>
    <row r="96" spans="1:10" ht="12.75" customHeight="1" x14ac:dyDescent="0.2">
      <c r="A96" s="146"/>
      <c r="B96" s="111" t="s">
        <v>102</v>
      </c>
      <c r="C96" s="47">
        <v>0</v>
      </c>
      <c r="D96" s="47">
        <v>0</v>
      </c>
      <c r="E96" s="70">
        <v>73928.539999999994</v>
      </c>
      <c r="F96" s="70"/>
      <c r="G96" s="101">
        <v>0</v>
      </c>
      <c r="H96" s="47">
        <v>0</v>
      </c>
      <c r="I96" s="101">
        <f t="shared" ref="I96:I159" si="31">E96/J96*100</f>
        <v>739.28539999999987</v>
      </c>
      <c r="J96" s="34">
        <v>10000</v>
      </c>
    </row>
    <row r="97" spans="1:47" ht="12.75" customHeight="1" x14ac:dyDescent="0.2">
      <c r="A97" s="147"/>
      <c r="B97" s="148" t="s">
        <v>103</v>
      </c>
      <c r="C97" s="47">
        <v>0</v>
      </c>
      <c r="D97" s="47">
        <v>0</v>
      </c>
      <c r="E97" s="70">
        <v>312221</v>
      </c>
      <c r="F97" s="70"/>
      <c r="G97" s="47">
        <v>0</v>
      </c>
      <c r="H97" s="47">
        <v>0</v>
      </c>
      <c r="I97" s="101">
        <f t="shared" si="31"/>
        <v>7805.5249999999996</v>
      </c>
      <c r="J97" s="134">
        <v>4000</v>
      </c>
    </row>
    <row r="98" spans="1:47" ht="12.75" customHeight="1" x14ac:dyDescent="0.2">
      <c r="A98" s="146"/>
      <c r="B98" s="111" t="s">
        <v>104</v>
      </c>
      <c r="C98" s="47">
        <v>2300000</v>
      </c>
      <c r="D98" s="47">
        <v>2300000</v>
      </c>
      <c r="E98" s="70">
        <v>2538504.69</v>
      </c>
      <c r="F98" s="70">
        <f>SUM(E97:E99)</f>
        <v>8835285.6899999995</v>
      </c>
      <c r="G98" s="101">
        <f t="shared" ref="G98:G158" si="32">E98/C98*100</f>
        <v>110.36976913043478</v>
      </c>
      <c r="H98" s="47">
        <f t="shared" ref="H98:H157" si="33">E98/D98*100</f>
        <v>110.36976913043478</v>
      </c>
      <c r="I98" s="101">
        <f t="shared" si="31"/>
        <v>122.46077509263679</v>
      </c>
      <c r="J98" s="34">
        <v>2072912.48</v>
      </c>
    </row>
    <row r="99" spans="1:47" ht="12.75" customHeight="1" x14ac:dyDescent="0.2">
      <c r="A99" s="146"/>
      <c r="B99" s="111" t="s">
        <v>105</v>
      </c>
      <c r="C99" s="47">
        <v>10000000</v>
      </c>
      <c r="D99" s="47">
        <v>10000000</v>
      </c>
      <c r="E99" s="70">
        <v>5984560</v>
      </c>
      <c r="F99" s="70"/>
      <c r="G99" s="101">
        <f t="shared" si="32"/>
        <v>59.845599999999997</v>
      </c>
      <c r="H99" s="47">
        <f t="shared" si="33"/>
        <v>59.845599999999997</v>
      </c>
      <c r="I99" s="101">
        <f t="shared" si="31"/>
        <v>87.818063727385464</v>
      </c>
      <c r="J99" s="34">
        <v>6814725.5199999996</v>
      </c>
    </row>
    <row r="100" spans="1:47" ht="12.75" customHeight="1" x14ac:dyDescent="0.2">
      <c r="A100" s="146"/>
      <c r="B100" s="111" t="s">
        <v>106</v>
      </c>
      <c r="C100" s="47">
        <v>0</v>
      </c>
      <c r="D100" s="47">
        <v>0</v>
      </c>
      <c r="E100" s="70">
        <v>3235</v>
      </c>
      <c r="F100" s="70"/>
      <c r="G100" s="101">
        <v>0</v>
      </c>
      <c r="H100" s="47">
        <v>0</v>
      </c>
      <c r="I100" s="101">
        <v>0</v>
      </c>
      <c r="J100" s="34">
        <v>0</v>
      </c>
    </row>
    <row r="101" spans="1:47" ht="12.75" customHeight="1" x14ac:dyDescent="0.2">
      <c r="A101" s="146"/>
      <c r="B101" s="111" t="s">
        <v>107</v>
      </c>
      <c r="C101" s="47">
        <v>0</v>
      </c>
      <c r="D101" s="47">
        <v>0</v>
      </c>
      <c r="E101" s="70">
        <v>354269.55</v>
      </c>
      <c r="F101" s="70"/>
      <c r="G101" s="101">
        <v>0</v>
      </c>
      <c r="H101" s="47">
        <v>0</v>
      </c>
      <c r="I101" s="101">
        <f t="shared" si="31"/>
        <v>836.55057929554175</v>
      </c>
      <c r="J101" s="34">
        <v>42348.85</v>
      </c>
    </row>
    <row r="102" spans="1:47" ht="12.75" customHeight="1" x14ac:dyDescent="0.2">
      <c r="A102" s="146"/>
      <c r="B102" s="111" t="s">
        <v>108</v>
      </c>
      <c r="C102" s="47">
        <v>0</v>
      </c>
      <c r="D102" s="47">
        <v>0</v>
      </c>
      <c r="E102" s="70">
        <v>41233.42</v>
      </c>
      <c r="F102" s="70"/>
      <c r="G102" s="101">
        <v>0</v>
      </c>
      <c r="H102" s="47">
        <v>0</v>
      </c>
      <c r="I102" s="101">
        <f t="shared" si="31"/>
        <v>25.176324982728204</v>
      </c>
      <c r="J102" s="34">
        <v>163778.54999999999</v>
      </c>
    </row>
    <row r="103" spans="1:47" ht="12.75" customHeight="1" x14ac:dyDescent="0.2">
      <c r="A103" s="146"/>
      <c r="B103" s="111" t="s">
        <v>109</v>
      </c>
      <c r="C103" s="47">
        <v>0</v>
      </c>
      <c r="D103" s="47">
        <v>0</v>
      </c>
      <c r="E103" s="70">
        <v>15000</v>
      </c>
      <c r="F103" s="70"/>
      <c r="G103" s="101">
        <v>0</v>
      </c>
      <c r="H103" s="47">
        <v>0</v>
      </c>
      <c r="I103" s="101">
        <f t="shared" si="31"/>
        <v>333.33333333333337</v>
      </c>
      <c r="J103" s="34">
        <v>4500</v>
      </c>
    </row>
    <row r="104" spans="1:47" ht="12.75" customHeight="1" x14ac:dyDescent="0.2">
      <c r="A104" s="146"/>
      <c r="B104" s="111" t="s">
        <v>110</v>
      </c>
      <c r="C104" s="47">
        <v>650000</v>
      </c>
      <c r="D104" s="47">
        <v>650000</v>
      </c>
      <c r="E104" s="70">
        <v>738414.47</v>
      </c>
      <c r="F104" s="70"/>
      <c r="G104" s="101">
        <f t="shared" si="32"/>
        <v>113.60222615384615</v>
      </c>
      <c r="H104" s="47">
        <f t="shared" si="33"/>
        <v>113.60222615384615</v>
      </c>
      <c r="I104" s="101">
        <f t="shared" si="31"/>
        <v>130.1565126070787</v>
      </c>
      <c r="J104" s="34">
        <v>567328.1</v>
      </c>
    </row>
    <row r="105" spans="1:47" ht="12.75" customHeight="1" x14ac:dyDescent="0.2">
      <c r="A105" s="146"/>
      <c r="B105" s="111" t="s">
        <v>111</v>
      </c>
      <c r="C105" s="47">
        <v>0</v>
      </c>
      <c r="D105" s="47">
        <v>0</v>
      </c>
      <c r="E105" s="70">
        <v>9000</v>
      </c>
      <c r="F105" s="70"/>
      <c r="G105" s="101">
        <v>0</v>
      </c>
      <c r="H105" s="47">
        <v>0</v>
      </c>
      <c r="I105" s="101">
        <v>0</v>
      </c>
      <c r="J105" s="34">
        <v>0</v>
      </c>
    </row>
    <row r="106" spans="1:47" ht="12.75" customHeight="1" x14ac:dyDescent="0.2">
      <c r="A106" s="146"/>
      <c r="B106" s="111" t="s">
        <v>112</v>
      </c>
      <c r="C106" s="47">
        <v>350000</v>
      </c>
      <c r="D106" s="47">
        <v>350000</v>
      </c>
      <c r="E106" s="70">
        <v>387792.07</v>
      </c>
      <c r="F106" s="70">
        <f>SUM(E106:E108)</f>
        <v>894562.74</v>
      </c>
      <c r="G106" s="101">
        <f t="shared" si="32"/>
        <v>110.79773428571428</v>
      </c>
      <c r="H106" s="47">
        <f t="shared" si="33"/>
        <v>110.79773428571428</v>
      </c>
      <c r="I106" s="101">
        <f t="shared" si="31"/>
        <v>71.223762584415354</v>
      </c>
      <c r="J106" s="34">
        <v>544470.06999999995</v>
      </c>
    </row>
    <row r="107" spans="1:47" s="119" customFormat="1" ht="12.75" customHeight="1" x14ac:dyDescent="0.2">
      <c r="A107" s="117"/>
      <c r="B107" s="111" t="s">
        <v>113</v>
      </c>
      <c r="C107" s="47">
        <v>60000</v>
      </c>
      <c r="D107" s="47">
        <v>60000</v>
      </c>
      <c r="E107" s="70">
        <v>24650</v>
      </c>
      <c r="F107" s="70"/>
      <c r="G107" s="101">
        <f t="shared" si="32"/>
        <v>41.083333333333336</v>
      </c>
      <c r="H107" s="47">
        <f t="shared" si="33"/>
        <v>41.083333333333336</v>
      </c>
      <c r="I107" s="101">
        <f t="shared" si="31"/>
        <v>48.571428571428569</v>
      </c>
      <c r="J107" s="19">
        <v>50750</v>
      </c>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1:47" s="119" customFormat="1" ht="12.75" customHeight="1" x14ac:dyDescent="0.2">
      <c r="A108" s="117"/>
      <c r="B108" s="111" t="s">
        <v>114</v>
      </c>
      <c r="C108" s="47">
        <v>0</v>
      </c>
      <c r="D108" s="47">
        <v>0</v>
      </c>
      <c r="E108" s="70">
        <v>482120.67</v>
      </c>
      <c r="F108" s="70"/>
      <c r="G108" s="101">
        <v>0</v>
      </c>
      <c r="H108" s="47">
        <v>0</v>
      </c>
      <c r="I108" s="101">
        <f t="shared" si="31"/>
        <v>29297.561375789985</v>
      </c>
      <c r="J108" s="19">
        <v>1645.6</v>
      </c>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1:47" s="21" customFormat="1" ht="12.75" customHeight="1" x14ac:dyDescent="0.2">
      <c r="A109" s="149">
        <v>2222</v>
      </c>
      <c r="B109" s="132" t="s">
        <v>115</v>
      </c>
      <c r="C109" s="106">
        <v>0</v>
      </c>
      <c r="D109" s="106">
        <v>36547.49</v>
      </c>
      <c r="E109" s="114">
        <v>36547.49</v>
      </c>
      <c r="F109" s="70"/>
      <c r="G109" s="106">
        <v>0</v>
      </c>
      <c r="H109" s="106">
        <f t="shared" si="33"/>
        <v>100</v>
      </c>
      <c r="I109" s="106">
        <f t="shared" si="31"/>
        <v>43.154469486513925</v>
      </c>
      <c r="J109" s="34">
        <v>84689.93</v>
      </c>
    </row>
    <row r="110" spans="1:47" ht="12.75" customHeight="1" x14ac:dyDescent="0.2">
      <c r="A110" s="97">
        <v>2229</v>
      </c>
      <c r="B110" s="98" t="s">
        <v>116</v>
      </c>
      <c r="C110" s="114">
        <f>SUM(C111:C125)</f>
        <v>8800000</v>
      </c>
      <c r="D110" s="114">
        <f>SUM(D111:D125)</f>
        <v>9981621.2399999984</v>
      </c>
      <c r="E110" s="114">
        <v>9959956.1899999995</v>
      </c>
      <c r="F110" s="70">
        <f>SUM(E111:E125)</f>
        <v>9959956.1900000013</v>
      </c>
      <c r="G110" s="100">
        <f t="shared" si="32"/>
        <v>113.18132034090908</v>
      </c>
      <c r="H110" s="106">
        <f t="shared" si="33"/>
        <v>99.782950590098736</v>
      </c>
      <c r="I110" s="100">
        <f t="shared" si="31"/>
        <v>172.07715333558679</v>
      </c>
      <c r="J110" s="34">
        <v>5788075.8700000001</v>
      </c>
      <c r="N110" s="150"/>
    </row>
    <row r="111" spans="1:47" ht="12.75" customHeight="1" x14ac:dyDescent="0.2">
      <c r="A111" s="111"/>
      <c r="B111" s="111" t="s">
        <v>117</v>
      </c>
      <c r="C111" s="47">
        <v>0</v>
      </c>
      <c r="D111" s="47">
        <f>(110466.12+18840.6+9919.98)</f>
        <v>139226.70000000001</v>
      </c>
      <c r="E111" s="70">
        <v>139226.70000000001</v>
      </c>
      <c r="F111" s="70">
        <f>SUM(E111:E112)</f>
        <v>140692.70000000001</v>
      </c>
      <c r="G111" s="47">
        <v>0</v>
      </c>
      <c r="H111" s="47">
        <f t="shared" si="33"/>
        <v>100</v>
      </c>
      <c r="I111" s="47">
        <f t="shared" si="31"/>
        <v>67.577198331376877</v>
      </c>
      <c r="J111" s="34">
        <v>206026.15</v>
      </c>
      <c r="K111" s="150"/>
    </row>
    <row r="112" spans="1:47" ht="12.75" customHeight="1" x14ac:dyDescent="0.2">
      <c r="A112" s="111"/>
      <c r="B112" s="111" t="s">
        <v>118</v>
      </c>
      <c r="C112" s="47">
        <v>0</v>
      </c>
      <c r="D112" s="47">
        <v>1466</v>
      </c>
      <c r="E112" s="151">
        <v>1466</v>
      </c>
      <c r="F112" s="18"/>
      <c r="G112" s="47">
        <v>0</v>
      </c>
      <c r="H112" s="47">
        <f t="shared" si="33"/>
        <v>100</v>
      </c>
      <c r="I112" s="47">
        <f t="shared" si="31"/>
        <v>5.5362537764350455</v>
      </c>
      <c r="J112" s="34">
        <v>26480</v>
      </c>
      <c r="K112" s="150"/>
    </row>
    <row r="113" spans="1:14" ht="12.75" customHeight="1" x14ac:dyDescent="0.2">
      <c r="A113" s="111"/>
      <c r="B113" s="111" t="s">
        <v>119</v>
      </c>
      <c r="C113" s="47">
        <v>0</v>
      </c>
      <c r="D113" s="47">
        <f>(126128.93+3832.65)</f>
        <v>129961.57999999999</v>
      </c>
      <c r="E113" s="151">
        <v>129961.58</v>
      </c>
      <c r="F113" s="18"/>
      <c r="G113" s="47">
        <v>0</v>
      </c>
      <c r="H113" s="47">
        <f t="shared" si="33"/>
        <v>100.00000000000003</v>
      </c>
      <c r="I113" s="47">
        <f t="shared" si="31"/>
        <v>29.419053200618706</v>
      </c>
      <c r="J113" s="34">
        <v>441759.9</v>
      </c>
      <c r="K113" s="150"/>
    </row>
    <row r="114" spans="1:14" ht="12.75" customHeight="1" x14ac:dyDescent="0.2">
      <c r="A114" s="111"/>
      <c r="B114" s="111" t="s">
        <v>120</v>
      </c>
      <c r="C114" s="47">
        <v>0</v>
      </c>
      <c r="D114" s="47">
        <v>12600</v>
      </c>
      <c r="E114" s="151">
        <v>12600</v>
      </c>
      <c r="F114" s="18"/>
      <c r="G114" s="47">
        <v>0</v>
      </c>
      <c r="H114" s="47">
        <f t="shared" si="33"/>
        <v>100</v>
      </c>
      <c r="I114" s="47">
        <v>0</v>
      </c>
      <c r="J114" s="34">
        <v>0</v>
      </c>
      <c r="K114" s="150"/>
    </row>
    <row r="115" spans="1:14" ht="12.75" customHeight="1" x14ac:dyDescent="0.2">
      <c r="A115" s="111"/>
      <c r="B115" s="111" t="s">
        <v>121</v>
      </c>
      <c r="C115" s="47">
        <v>0</v>
      </c>
      <c r="D115" s="47">
        <v>114402.81</v>
      </c>
      <c r="E115" s="151">
        <v>114402.81</v>
      </c>
      <c r="F115" s="18"/>
      <c r="G115" s="47">
        <v>0</v>
      </c>
      <c r="H115" s="47">
        <f t="shared" si="33"/>
        <v>100</v>
      </c>
      <c r="I115" s="47">
        <f t="shared" si="31"/>
        <v>196.11151614306121</v>
      </c>
      <c r="J115" s="34">
        <v>58335.59</v>
      </c>
      <c r="K115" s="150"/>
    </row>
    <row r="116" spans="1:14" ht="12.75" customHeight="1" x14ac:dyDescent="0.2">
      <c r="A116" s="111"/>
      <c r="B116" s="111" t="s">
        <v>122</v>
      </c>
      <c r="C116" s="47">
        <v>0</v>
      </c>
      <c r="D116" s="47">
        <v>12480</v>
      </c>
      <c r="E116" s="151">
        <v>0</v>
      </c>
      <c r="F116" s="18"/>
      <c r="G116" s="101">
        <v>0</v>
      </c>
      <c r="H116" s="47">
        <f t="shared" si="33"/>
        <v>0</v>
      </c>
      <c r="I116" s="101">
        <v>0</v>
      </c>
      <c r="J116" s="34">
        <v>0</v>
      </c>
      <c r="K116" s="150"/>
    </row>
    <row r="117" spans="1:14" ht="12.75" customHeight="1" x14ac:dyDescent="0.2">
      <c r="A117" s="111"/>
      <c r="B117" s="111" t="s">
        <v>123</v>
      </c>
      <c r="C117" s="47">
        <v>0</v>
      </c>
      <c r="D117" s="47">
        <v>222108.03</v>
      </c>
      <c r="E117" s="151">
        <v>222108.03</v>
      </c>
      <c r="F117" s="18"/>
      <c r="G117" s="47">
        <v>0</v>
      </c>
      <c r="H117" s="47">
        <f t="shared" si="33"/>
        <v>100</v>
      </c>
      <c r="I117" s="47">
        <f t="shared" ref="I117:I120" si="34">E117/J117*100</f>
        <v>239.48566033060766</v>
      </c>
      <c r="J117" s="34">
        <v>92743.77</v>
      </c>
      <c r="K117" s="150"/>
    </row>
    <row r="118" spans="1:14" ht="12.75" customHeight="1" x14ac:dyDescent="0.2">
      <c r="A118" s="111"/>
      <c r="B118" s="111" t="s">
        <v>124</v>
      </c>
      <c r="C118" s="47">
        <v>0</v>
      </c>
      <c r="D118" s="47">
        <v>42348</v>
      </c>
      <c r="E118" s="151">
        <v>42347.53</v>
      </c>
      <c r="F118" s="18"/>
      <c r="G118" s="47">
        <v>0</v>
      </c>
      <c r="H118" s="47">
        <f t="shared" si="33"/>
        <v>99.998890148295075</v>
      </c>
      <c r="I118" s="47">
        <f t="shared" si="34"/>
        <v>43.947664463101525</v>
      </c>
      <c r="J118" s="34">
        <v>96359</v>
      </c>
      <c r="K118" s="150"/>
    </row>
    <row r="119" spans="1:14" ht="12.75" customHeight="1" x14ac:dyDescent="0.2">
      <c r="A119" s="111"/>
      <c r="B119" s="111" t="s">
        <v>125</v>
      </c>
      <c r="C119" s="47">
        <v>0</v>
      </c>
      <c r="D119" s="47">
        <v>200</v>
      </c>
      <c r="E119" s="151">
        <v>200</v>
      </c>
      <c r="F119" s="18"/>
      <c r="G119" s="47">
        <v>0</v>
      </c>
      <c r="H119" s="47">
        <f t="shared" si="33"/>
        <v>100</v>
      </c>
      <c r="I119" s="47">
        <v>0</v>
      </c>
      <c r="J119" s="34">
        <v>0</v>
      </c>
      <c r="K119" s="150"/>
    </row>
    <row r="120" spans="1:14" ht="12.75" customHeight="1" x14ac:dyDescent="0.2">
      <c r="A120" s="111"/>
      <c r="B120" s="111" t="s">
        <v>126</v>
      </c>
      <c r="C120" s="47">
        <v>0</v>
      </c>
      <c r="D120" s="47">
        <v>233812</v>
      </c>
      <c r="E120" s="151">
        <v>233812</v>
      </c>
      <c r="F120" s="18"/>
      <c r="G120" s="47">
        <v>0</v>
      </c>
      <c r="H120" s="47">
        <f t="shared" si="33"/>
        <v>100</v>
      </c>
      <c r="I120" s="47">
        <f t="shared" si="34"/>
        <v>93.370178983603154</v>
      </c>
      <c r="J120" s="34">
        <v>250414</v>
      </c>
      <c r="K120" s="150"/>
    </row>
    <row r="121" spans="1:14" ht="12.75" customHeight="1" x14ac:dyDescent="0.2">
      <c r="A121" s="112"/>
      <c r="B121" s="111" t="s">
        <v>127</v>
      </c>
      <c r="C121" s="47">
        <v>8800000</v>
      </c>
      <c r="D121" s="47">
        <f>8800000+8746257.22-8800000</f>
        <v>8746257.2199999988</v>
      </c>
      <c r="E121" s="70">
        <v>8659062.2200000007</v>
      </c>
      <c r="F121" s="70"/>
      <c r="G121" s="101">
        <f t="shared" si="32"/>
        <v>98.398434318181828</v>
      </c>
      <c r="H121" s="47">
        <f t="shared" si="33"/>
        <v>99.003059276594215</v>
      </c>
      <c r="I121" s="101">
        <f t="shared" si="31"/>
        <v>299.79235573000761</v>
      </c>
      <c r="J121" s="34">
        <v>2888353.24</v>
      </c>
      <c r="N121" s="150"/>
    </row>
    <row r="122" spans="1:14" ht="12.75" customHeight="1" x14ac:dyDescent="0.2">
      <c r="A122" s="111"/>
      <c r="B122" s="111" t="s">
        <v>128</v>
      </c>
      <c r="C122" s="47">
        <v>0</v>
      </c>
      <c r="D122" s="47">
        <f>(158100.5+131100+29600)</f>
        <v>318800.5</v>
      </c>
      <c r="E122" s="151">
        <v>327106.5</v>
      </c>
      <c r="F122" s="18"/>
      <c r="G122" s="47">
        <v>0</v>
      </c>
      <c r="H122" s="47">
        <f t="shared" si="33"/>
        <v>102.60539114587337</v>
      </c>
      <c r="I122" s="47">
        <f t="shared" si="31"/>
        <v>39.005268790447637</v>
      </c>
      <c r="J122" s="34">
        <v>838621.32</v>
      </c>
      <c r="K122" s="150"/>
    </row>
    <row r="123" spans="1:14" ht="12.75" customHeight="1" x14ac:dyDescent="0.2">
      <c r="A123" s="111"/>
      <c r="B123" s="111" t="s">
        <v>129</v>
      </c>
      <c r="C123" s="47">
        <v>0</v>
      </c>
      <c r="D123" s="47">
        <v>7958.4</v>
      </c>
      <c r="E123" s="151">
        <v>7958.4</v>
      </c>
      <c r="F123" s="18"/>
      <c r="G123" s="47">
        <v>0</v>
      </c>
      <c r="H123" s="47">
        <f t="shared" si="33"/>
        <v>100</v>
      </c>
      <c r="I123" s="47">
        <f t="shared" si="31"/>
        <v>131.32673267326732</v>
      </c>
      <c r="J123" s="34">
        <v>6060</v>
      </c>
      <c r="K123" s="150"/>
    </row>
    <row r="124" spans="1:14" ht="12.75" customHeight="1" x14ac:dyDescent="0.2">
      <c r="A124" s="111"/>
      <c r="B124" s="111" t="s">
        <v>130</v>
      </c>
      <c r="C124" s="47">
        <v>0</v>
      </c>
      <c r="D124" s="47">
        <v>0</v>
      </c>
      <c r="E124" s="151">
        <v>11800</v>
      </c>
      <c r="F124" s="18"/>
      <c r="G124" s="47">
        <v>0</v>
      </c>
      <c r="H124" s="47">
        <v>0</v>
      </c>
      <c r="I124" s="47">
        <f t="shared" si="31"/>
        <v>618.44863731656176</v>
      </c>
      <c r="J124" s="34">
        <v>1908</v>
      </c>
      <c r="K124" s="150"/>
    </row>
    <row r="125" spans="1:14" ht="12.75" customHeight="1" x14ac:dyDescent="0.2">
      <c r="A125" s="111"/>
      <c r="B125" s="111" t="s">
        <v>131</v>
      </c>
      <c r="C125" s="47">
        <v>0</v>
      </c>
      <c r="D125" s="47">
        <v>0</v>
      </c>
      <c r="E125" s="151">
        <v>57904.42</v>
      </c>
      <c r="F125" s="18"/>
      <c r="G125" s="47">
        <v>0</v>
      </c>
      <c r="H125" s="47">
        <v>0</v>
      </c>
      <c r="I125" s="47">
        <f t="shared" si="31"/>
        <v>1861.2799742847958</v>
      </c>
      <c r="J125" s="34">
        <v>3111</v>
      </c>
      <c r="K125" s="150"/>
    </row>
    <row r="126" spans="1:14" ht="12.75" customHeight="1" x14ac:dyDescent="0.2">
      <c r="A126" s="135">
        <v>2310</v>
      </c>
      <c r="B126" s="98" t="s">
        <v>132</v>
      </c>
      <c r="C126" s="106">
        <v>0</v>
      </c>
      <c r="D126" s="106">
        <v>0</v>
      </c>
      <c r="E126" s="114">
        <v>96400</v>
      </c>
      <c r="F126" s="70"/>
      <c r="G126" s="100">
        <v>0</v>
      </c>
      <c r="H126" s="106">
        <v>0</v>
      </c>
      <c r="I126" s="100">
        <f t="shared" si="31"/>
        <v>165.99225139905295</v>
      </c>
      <c r="J126" s="19">
        <v>58075</v>
      </c>
    </row>
    <row r="127" spans="1:14" ht="12.75" customHeight="1" x14ac:dyDescent="0.2">
      <c r="A127" s="135">
        <v>2321</v>
      </c>
      <c r="B127" s="98" t="s">
        <v>133</v>
      </c>
      <c r="C127" s="106">
        <v>100000</v>
      </c>
      <c r="D127" s="106">
        <f>100000+50000-50000</f>
        <v>100000</v>
      </c>
      <c r="E127" s="114">
        <v>100000</v>
      </c>
      <c r="F127" s="70"/>
      <c r="G127" s="100">
        <f t="shared" si="32"/>
        <v>100</v>
      </c>
      <c r="H127" s="106">
        <f t="shared" si="33"/>
        <v>100</v>
      </c>
      <c r="I127" s="100">
        <f t="shared" si="31"/>
        <v>54.054054054054056</v>
      </c>
      <c r="J127" s="34">
        <v>185000</v>
      </c>
    </row>
    <row r="128" spans="1:14" ht="12.75" customHeight="1" x14ac:dyDescent="0.2">
      <c r="A128" s="135">
        <v>2322</v>
      </c>
      <c r="B128" s="98" t="s">
        <v>134</v>
      </c>
      <c r="C128" s="106">
        <v>0</v>
      </c>
      <c r="D128" s="106">
        <f>103228+314430+136796+33395</f>
        <v>587849</v>
      </c>
      <c r="E128" s="114">
        <v>585912</v>
      </c>
      <c r="F128" s="114"/>
      <c r="G128" s="100">
        <v>0</v>
      </c>
      <c r="H128" s="106">
        <f t="shared" si="33"/>
        <v>99.67049361315577</v>
      </c>
      <c r="I128" s="100">
        <f t="shared" si="31"/>
        <v>162.16862534528283</v>
      </c>
      <c r="J128" s="34">
        <v>361298</v>
      </c>
    </row>
    <row r="129" spans="1:10" s="21" customFormat="1" ht="12.75" customHeight="1" x14ac:dyDescent="0.2">
      <c r="A129" s="135">
        <v>2324</v>
      </c>
      <c r="B129" s="98" t="s">
        <v>135</v>
      </c>
      <c r="C129" s="114">
        <f>SUM(C130:C147)</f>
        <v>2491000</v>
      </c>
      <c r="D129" s="114">
        <f>SUM(D130:D147)</f>
        <v>3004800</v>
      </c>
      <c r="E129" s="114">
        <v>4598891.2699999996</v>
      </c>
      <c r="F129" s="114">
        <f>SUM(E130:E147)</f>
        <v>4598891.2699999996</v>
      </c>
      <c r="G129" s="100">
        <f t="shared" si="32"/>
        <v>184.62028382175831</v>
      </c>
      <c r="H129" s="106">
        <f t="shared" si="33"/>
        <v>153.05149327742276</v>
      </c>
      <c r="I129" s="100">
        <f t="shared" si="31"/>
        <v>116.49189404451292</v>
      </c>
      <c r="J129" s="19">
        <v>3947820.84</v>
      </c>
    </row>
    <row r="130" spans="1:10" s="21" customFormat="1" ht="12.75" customHeight="1" x14ac:dyDescent="0.2">
      <c r="A130" s="117"/>
      <c r="B130" s="152" t="s">
        <v>136</v>
      </c>
      <c r="C130" s="47">
        <v>0</v>
      </c>
      <c r="D130" s="47">
        <v>0</v>
      </c>
      <c r="E130" s="70">
        <v>1282</v>
      </c>
      <c r="F130" s="70"/>
      <c r="G130" s="101">
        <v>0</v>
      </c>
      <c r="H130" s="47">
        <v>0</v>
      </c>
      <c r="I130" s="101">
        <f t="shared" si="31"/>
        <v>101.18389897395421</v>
      </c>
      <c r="J130" s="34">
        <v>1267</v>
      </c>
    </row>
    <row r="131" spans="1:10" s="21" customFormat="1" ht="12.75" customHeight="1" x14ac:dyDescent="0.2">
      <c r="A131" s="117"/>
      <c r="B131" s="152" t="s">
        <v>137</v>
      </c>
      <c r="C131" s="47">
        <v>8000</v>
      </c>
      <c r="D131" s="47">
        <v>8000</v>
      </c>
      <c r="E131" s="70">
        <v>15686.99</v>
      </c>
      <c r="F131" s="70"/>
      <c r="G131" s="101">
        <f>E131/C131*100</f>
        <v>196.08737500000001</v>
      </c>
      <c r="H131" s="47">
        <f>E131/D131*100</f>
        <v>196.08737500000001</v>
      </c>
      <c r="I131" s="101">
        <f>E131/J131*100</f>
        <v>124.3790952281276</v>
      </c>
      <c r="J131" s="34">
        <v>12612.24</v>
      </c>
    </row>
    <row r="132" spans="1:10" s="21" customFormat="1" ht="12.75" customHeight="1" x14ac:dyDescent="0.2">
      <c r="A132" s="117"/>
      <c r="B132" s="152" t="s">
        <v>138</v>
      </c>
      <c r="C132" s="47">
        <v>0</v>
      </c>
      <c r="D132" s="47">
        <v>0</v>
      </c>
      <c r="E132" s="70">
        <v>520</v>
      </c>
      <c r="F132" s="70"/>
      <c r="G132" s="101">
        <v>0</v>
      </c>
      <c r="H132" s="47">
        <v>0</v>
      </c>
      <c r="I132" s="101">
        <v>0</v>
      </c>
      <c r="J132" s="34">
        <v>0</v>
      </c>
    </row>
    <row r="133" spans="1:10" s="21" customFormat="1" ht="12.75" customHeight="1" x14ac:dyDescent="0.2">
      <c r="A133" s="135"/>
      <c r="B133" s="152" t="s">
        <v>101</v>
      </c>
      <c r="C133" s="47">
        <v>30000</v>
      </c>
      <c r="D133" s="47">
        <v>30000</v>
      </c>
      <c r="E133" s="70">
        <v>37000</v>
      </c>
      <c r="F133" s="70"/>
      <c r="G133" s="101">
        <f t="shared" si="32"/>
        <v>123.33333333333334</v>
      </c>
      <c r="H133" s="47">
        <f t="shared" si="33"/>
        <v>123.33333333333334</v>
      </c>
      <c r="I133" s="101">
        <f t="shared" si="31"/>
        <v>90.243902439024396</v>
      </c>
      <c r="J133" s="34">
        <v>41000</v>
      </c>
    </row>
    <row r="134" spans="1:10" s="21" customFormat="1" ht="12.75" customHeight="1" x14ac:dyDescent="0.2">
      <c r="A134" s="135"/>
      <c r="B134" s="152" t="s">
        <v>139</v>
      </c>
      <c r="C134" s="47">
        <v>0</v>
      </c>
      <c r="D134" s="47">
        <v>0</v>
      </c>
      <c r="E134" s="70">
        <v>3106</v>
      </c>
      <c r="F134" s="70"/>
      <c r="G134" s="101">
        <v>0</v>
      </c>
      <c r="H134" s="47">
        <v>0</v>
      </c>
      <c r="I134" s="101">
        <v>0</v>
      </c>
      <c r="J134" s="34">
        <v>0</v>
      </c>
    </row>
    <row r="135" spans="1:10" s="21" customFormat="1" ht="12.75" customHeight="1" x14ac:dyDescent="0.2">
      <c r="A135" s="135"/>
      <c r="B135" s="152" t="s">
        <v>140</v>
      </c>
      <c r="C135" s="47">
        <v>250000</v>
      </c>
      <c r="D135" s="47">
        <v>250000</v>
      </c>
      <c r="E135" s="70">
        <v>159760.73000000001</v>
      </c>
      <c r="F135" s="70"/>
      <c r="G135" s="101">
        <f t="shared" si="32"/>
        <v>63.904292000000005</v>
      </c>
      <c r="H135" s="47">
        <f t="shared" si="33"/>
        <v>63.904292000000005</v>
      </c>
      <c r="I135" s="101">
        <f t="shared" si="31"/>
        <v>110.34959997071357</v>
      </c>
      <c r="J135" s="19">
        <v>144776.9</v>
      </c>
    </row>
    <row r="136" spans="1:10" s="21" customFormat="1" ht="12.75" customHeight="1" x14ac:dyDescent="0.2">
      <c r="A136" s="135"/>
      <c r="B136" s="152" t="s">
        <v>141</v>
      </c>
      <c r="C136" s="47">
        <v>0</v>
      </c>
      <c r="D136" s="47">
        <v>0</v>
      </c>
      <c r="E136" s="70">
        <v>43608.03</v>
      </c>
      <c r="F136" s="70"/>
      <c r="G136" s="101">
        <v>0</v>
      </c>
      <c r="H136" s="47">
        <v>0</v>
      </c>
      <c r="I136" s="101">
        <f t="shared" si="31"/>
        <v>241.69227708131612</v>
      </c>
      <c r="J136" s="34">
        <v>18042.79</v>
      </c>
    </row>
    <row r="137" spans="1:10" s="21" customFormat="1" ht="12.75" customHeight="1" x14ac:dyDescent="0.2">
      <c r="A137" s="135"/>
      <c r="B137" s="152" t="s">
        <v>142</v>
      </c>
      <c r="C137" s="47">
        <v>0</v>
      </c>
      <c r="D137" s="47">
        <v>0</v>
      </c>
      <c r="E137" s="70">
        <v>312422.09999999998</v>
      </c>
      <c r="F137" s="70"/>
      <c r="G137" s="101">
        <v>0</v>
      </c>
      <c r="H137" s="47">
        <v>0</v>
      </c>
      <c r="I137" s="101">
        <f t="shared" si="31"/>
        <v>62.136516401935225</v>
      </c>
      <c r="J137" s="34">
        <v>502799.51</v>
      </c>
    </row>
    <row r="138" spans="1:10" s="21" customFormat="1" ht="12.75" customHeight="1" x14ac:dyDescent="0.2">
      <c r="A138" s="135"/>
      <c r="B138" s="152" t="s">
        <v>143</v>
      </c>
      <c r="C138" s="47">
        <v>0</v>
      </c>
      <c r="D138" s="47">
        <v>0</v>
      </c>
      <c r="E138" s="70">
        <v>20347.830000000002</v>
      </c>
      <c r="F138" s="70"/>
      <c r="G138" s="101">
        <v>0</v>
      </c>
      <c r="H138" s="47">
        <v>0</v>
      </c>
      <c r="I138" s="101">
        <f t="shared" si="31"/>
        <v>29.492976879098659</v>
      </c>
      <c r="J138" s="19">
        <v>68992.12</v>
      </c>
    </row>
    <row r="139" spans="1:10" ht="12.75" customHeight="1" x14ac:dyDescent="0.2">
      <c r="A139" s="153"/>
      <c r="B139" s="154" t="s">
        <v>144</v>
      </c>
      <c r="C139" s="47">
        <v>0</v>
      </c>
      <c r="D139" s="47">
        <v>0</v>
      </c>
      <c r="E139" s="70">
        <v>26252.37</v>
      </c>
      <c r="F139" s="70"/>
      <c r="G139" s="101">
        <v>0</v>
      </c>
      <c r="H139" s="47">
        <v>0</v>
      </c>
      <c r="I139" s="101">
        <f t="shared" si="31"/>
        <v>2625.2370000000001</v>
      </c>
      <c r="J139" s="19">
        <v>1000</v>
      </c>
    </row>
    <row r="140" spans="1:10" s="155" customFormat="1" ht="12.75" customHeight="1" x14ac:dyDescent="0.2">
      <c r="A140" s="53"/>
      <c r="B140" s="111" t="s">
        <v>145</v>
      </c>
      <c r="C140" s="47">
        <v>2100000</v>
      </c>
      <c r="D140" s="47">
        <v>2100000</v>
      </c>
      <c r="E140" s="70">
        <v>3322689.71</v>
      </c>
      <c r="F140" s="70"/>
      <c r="G140" s="101">
        <f>E140/C140*100</f>
        <v>158.22331952380952</v>
      </c>
      <c r="H140" s="47">
        <f>E140/D140*100</f>
        <v>158.22331952380952</v>
      </c>
      <c r="I140" s="101">
        <f t="shared" si="31"/>
        <v>116.7060772910141</v>
      </c>
      <c r="J140" s="34">
        <v>2847058</v>
      </c>
    </row>
    <row r="141" spans="1:10" s="155" customFormat="1" ht="12.75" customHeight="1" x14ac:dyDescent="0.2">
      <c r="A141" s="53"/>
      <c r="B141" s="111" t="s">
        <v>109</v>
      </c>
      <c r="C141" s="47">
        <v>0</v>
      </c>
      <c r="D141" s="47">
        <v>0</v>
      </c>
      <c r="E141" s="70">
        <v>25000</v>
      </c>
      <c r="F141" s="70"/>
      <c r="G141" s="101">
        <v>0</v>
      </c>
      <c r="H141" s="47">
        <v>0</v>
      </c>
      <c r="I141" s="101">
        <f t="shared" si="31"/>
        <v>625</v>
      </c>
      <c r="J141" s="34">
        <v>4000</v>
      </c>
    </row>
    <row r="142" spans="1:10" s="155" customFormat="1" ht="12.75" customHeight="1" x14ac:dyDescent="0.2">
      <c r="A142" s="147"/>
      <c r="B142" s="148" t="s">
        <v>146</v>
      </c>
      <c r="C142" s="47">
        <v>0</v>
      </c>
      <c r="D142" s="47">
        <v>0</v>
      </c>
      <c r="E142" s="151">
        <v>5426.92</v>
      </c>
      <c r="F142" s="18"/>
      <c r="G142" s="47">
        <v>0</v>
      </c>
      <c r="H142" s="47">
        <v>0</v>
      </c>
      <c r="I142" s="101">
        <f t="shared" si="31"/>
        <v>4.1727743183983694</v>
      </c>
      <c r="J142" s="34">
        <v>130055.44</v>
      </c>
    </row>
    <row r="143" spans="1:10" s="155" customFormat="1" ht="12.75" customHeight="1" x14ac:dyDescent="0.2">
      <c r="A143" s="53"/>
      <c r="B143" s="111" t="s">
        <v>147</v>
      </c>
      <c r="C143" s="47">
        <v>3000</v>
      </c>
      <c r="D143" s="47">
        <v>3000</v>
      </c>
      <c r="E143" s="70">
        <v>1034.2</v>
      </c>
      <c r="F143" s="70"/>
      <c r="G143" s="101">
        <f t="shared" si="32"/>
        <v>34.473333333333336</v>
      </c>
      <c r="H143" s="47">
        <f t="shared" si="33"/>
        <v>34.473333333333336</v>
      </c>
      <c r="I143" s="101">
        <f t="shared" si="31"/>
        <v>31.882458482207543</v>
      </c>
      <c r="J143" s="34">
        <v>3243.79</v>
      </c>
    </row>
    <row r="144" spans="1:10" s="155" customFormat="1" ht="12.75" customHeight="1" x14ac:dyDescent="0.2">
      <c r="A144" s="53"/>
      <c r="B144" s="111" t="s">
        <v>148</v>
      </c>
      <c r="C144" s="47">
        <v>0</v>
      </c>
      <c r="D144" s="47">
        <v>0</v>
      </c>
      <c r="E144" s="70">
        <v>20289.62</v>
      </c>
      <c r="F144" s="70">
        <f>SUM(E144:E146)</f>
        <v>110954.39</v>
      </c>
      <c r="G144" s="101">
        <v>0</v>
      </c>
      <c r="H144" s="47">
        <v>0</v>
      </c>
      <c r="I144" s="101">
        <f t="shared" si="31"/>
        <v>35.199533393602167</v>
      </c>
      <c r="J144" s="34">
        <v>57641.73</v>
      </c>
    </row>
    <row r="145" spans="1:10" s="155" customFormat="1" ht="12.75" customHeight="1" x14ac:dyDescent="0.2">
      <c r="A145" s="53"/>
      <c r="B145" s="111" t="s">
        <v>149</v>
      </c>
      <c r="C145" s="47">
        <v>50000</v>
      </c>
      <c r="D145" s="47">
        <v>50000</v>
      </c>
      <c r="E145" s="70">
        <v>72251.520000000004</v>
      </c>
      <c r="F145" s="70"/>
      <c r="G145" s="101">
        <f t="shared" si="32"/>
        <v>144.50304</v>
      </c>
      <c r="H145" s="47">
        <f t="shared" si="33"/>
        <v>144.50304</v>
      </c>
      <c r="I145" s="101">
        <f t="shared" si="31"/>
        <v>410.11221796509159</v>
      </c>
      <c r="J145" s="34">
        <v>17617.5</v>
      </c>
    </row>
    <row r="146" spans="1:10" s="155" customFormat="1" ht="12.75" customHeight="1" x14ac:dyDescent="0.2">
      <c r="A146" s="117"/>
      <c r="B146" s="111" t="s">
        <v>150</v>
      </c>
      <c r="C146" s="47">
        <v>50000</v>
      </c>
      <c r="D146" s="47">
        <v>50000</v>
      </c>
      <c r="E146" s="70">
        <v>18413.25</v>
      </c>
      <c r="F146" s="70"/>
      <c r="G146" s="101">
        <f>E146/C146*100</f>
        <v>36.826500000000003</v>
      </c>
      <c r="H146" s="47">
        <f>E146/D146*100</f>
        <v>36.826500000000003</v>
      </c>
      <c r="I146" s="101">
        <f>E146/J146*100</f>
        <v>79.663378878956408</v>
      </c>
      <c r="J146" s="34">
        <v>23113.82</v>
      </c>
    </row>
    <row r="147" spans="1:10" s="155" customFormat="1" ht="12.75" customHeight="1" x14ac:dyDescent="0.2">
      <c r="A147" s="117"/>
      <c r="B147" s="111" t="s">
        <v>151</v>
      </c>
      <c r="C147" s="47">
        <v>0</v>
      </c>
      <c r="D147" s="47">
        <f>94600+97800+105400+216000-513800+513800</f>
        <v>513800</v>
      </c>
      <c r="E147" s="70">
        <v>513800</v>
      </c>
      <c r="F147" s="70"/>
      <c r="G147" s="101">
        <v>0</v>
      </c>
      <c r="H147" s="47">
        <f t="shared" si="33"/>
        <v>100</v>
      </c>
      <c r="I147" s="101">
        <v>0</v>
      </c>
      <c r="J147" s="34">
        <v>0</v>
      </c>
    </row>
    <row r="148" spans="1:10" ht="12.75" customHeight="1" x14ac:dyDescent="0.2">
      <c r="A148" s="135">
        <v>2328</v>
      </c>
      <c r="B148" s="98" t="s">
        <v>152</v>
      </c>
      <c r="C148" s="106">
        <v>0</v>
      </c>
      <c r="D148" s="106">
        <v>0</v>
      </c>
      <c r="E148" s="114">
        <v>-14137.64</v>
      </c>
      <c r="F148" s="114"/>
      <c r="G148" s="100">
        <v>0</v>
      </c>
      <c r="H148" s="106">
        <v>0</v>
      </c>
      <c r="I148" s="100">
        <f t="shared" si="31"/>
        <v>-39.365721824446346</v>
      </c>
      <c r="J148" s="34">
        <v>35913.58</v>
      </c>
    </row>
    <row r="149" spans="1:10" s="21" customFormat="1" ht="12.75" customHeight="1" x14ac:dyDescent="0.2">
      <c r="A149" s="135">
        <v>2329</v>
      </c>
      <c r="B149" s="98" t="s">
        <v>153</v>
      </c>
      <c r="C149" s="114">
        <f>SUM(C150:C166)</f>
        <v>16148000</v>
      </c>
      <c r="D149" s="114">
        <f>SUM(D150:D166)</f>
        <v>1698000</v>
      </c>
      <c r="E149" s="114">
        <v>1371878.3999999999</v>
      </c>
      <c r="F149" s="70">
        <f>SUM(E150:E166)</f>
        <v>1371878.4000000001</v>
      </c>
      <c r="G149" s="100">
        <f t="shared" si="32"/>
        <v>8.4956551894971497</v>
      </c>
      <c r="H149" s="106">
        <f t="shared" si="33"/>
        <v>80.793780918727904</v>
      </c>
      <c r="I149" s="100">
        <f t="shared" si="31"/>
        <v>179.81466254571475</v>
      </c>
      <c r="J149" s="34">
        <v>762940.23</v>
      </c>
    </row>
    <row r="150" spans="1:10" x14ac:dyDescent="0.2">
      <c r="A150" s="53"/>
      <c r="B150" s="115" t="s">
        <v>154</v>
      </c>
      <c r="C150" s="47">
        <v>900000</v>
      </c>
      <c r="D150" s="47">
        <v>900000</v>
      </c>
      <c r="E150" s="70">
        <v>0</v>
      </c>
      <c r="F150" s="70"/>
      <c r="G150" s="101">
        <f>E150/C150*100</f>
        <v>0</v>
      </c>
      <c r="H150" s="47">
        <f t="shared" si="33"/>
        <v>0</v>
      </c>
      <c r="I150" s="101">
        <v>0</v>
      </c>
      <c r="J150" s="34">
        <v>0</v>
      </c>
    </row>
    <row r="151" spans="1:10" ht="12.75" customHeight="1" x14ac:dyDescent="0.2">
      <c r="A151" s="53"/>
      <c r="B151" s="111" t="s">
        <v>155</v>
      </c>
      <c r="C151" s="47">
        <v>5000</v>
      </c>
      <c r="D151" s="47">
        <v>5000</v>
      </c>
      <c r="E151" s="70">
        <v>10000</v>
      </c>
      <c r="F151" s="70"/>
      <c r="G151" s="101">
        <f t="shared" si="32"/>
        <v>200</v>
      </c>
      <c r="H151" s="47">
        <f t="shared" si="33"/>
        <v>200</v>
      </c>
      <c r="I151" s="101">
        <v>0</v>
      </c>
      <c r="J151" s="34">
        <v>0</v>
      </c>
    </row>
    <row r="152" spans="1:10" ht="12.75" customHeight="1" x14ac:dyDescent="0.2">
      <c r="A152" s="53"/>
      <c r="B152" s="111" t="s">
        <v>156</v>
      </c>
      <c r="C152" s="47">
        <v>0</v>
      </c>
      <c r="D152" s="47">
        <v>200000</v>
      </c>
      <c r="E152" s="70">
        <v>234250</v>
      </c>
      <c r="F152" s="70"/>
      <c r="G152" s="101">
        <v>0</v>
      </c>
      <c r="H152" s="47">
        <f t="shared" si="33"/>
        <v>117.12499999999999</v>
      </c>
      <c r="I152" s="101">
        <v>0</v>
      </c>
      <c r="J152" s="34">
        <v>0</v>
      </c>
    </row>
    <row r="153" spans="1:10" ht="12.75" customHeight="1" x14ac:dyDescent="0.2">
      <c r="A153" s="53"/>
      <c r="B153" s="111" t="s">
        <v>157</v>
      </c>
      <c r="C153" s="47">
        <v>0</v>
      </c>
      <c r="D153" s="47">
        <v>0</v>
      </c>
      <c r="E153" s="70">
        <v>948622.51</v>
      </c>
      <c r="F153" s="70"/>
      <c r="G153" s="101">
        <v>0</v>
      </c>
      <c r="H153" s="47">
        <v>0</v>
      </c>
      <c r="I153" s="101">
        <f>E153/J153*100</f>
        <v>310.29169900430651</v>
      </c>
      <c r="J153" s="34">
        <v>305719.59000000003</v>
      </c>
    </row>
    <row r="154" spans="1:10" ht="12.75" customHeight="1" x14ac:dyDescent="0.2">
      <c r="A154" s="53"/>
      <c r="B154" s="111" t="s">
        <v>158</v>
      </c>
      <c r="C154" s="47">
        <v>200000</v>
      </c>
      <c r="D154" s="47">
        <f>200000-200000</f>
        <v>0</v>
      </c>
      <c r="E154" s="70">
        <v>22456.79</v>
      </c>
      <c r="F154" s="70"/>
      <c r="G154" s="101">
        <f t="shared" si="32"/>
        <v>11.228395000000001</v>
      </c>
      <c r="H154" s="47">
        <v>0</v>
      </c>
      <c r="I154" s="101">
        <f t="shared" si="31"/>
        <v>20.418174154279445</v>
      </c>
      <c r="J154" s="34">
        <v>109984.32000000001</v>
      </c>
    </row>
    <row r="155" spans="1:10" ht="12.75" customHeight="1" x14ac:dyDescent="0.2">
      <c r="A155" s="53"/>
      <c r="B155" s="111" t="s">
        <v>159</v>
      </c>
      <c r="C155" s="47">
        <v>50000</v>
      </c>
      <c r="D155" s="47">
        <v>50000</v>
      </c>
      <c r="E155" s="70">
        <v>53695</v>
      </c>
      <c r="F155" s="70"/>
      <c r="G155" s="101">
        <f t="shared" si="32"/>
        <v>107.39000000000001</v>
      </c>
      <c r="H155" s="47">
        <f t="shared" si="33"/>
        <v>107.39000000000001</v>
      </c>
      <c r="I155" s="101">
        <f t="shared" si="31"/>
        <v>134.94800122645728</v>
      </c>
      <c r="J155" s="34">
        <v>39789.4</v>
      </c>
    </row>
    <row r="156" spans="1:10" ht="12.75" customHeight="1" x14ac:dyDescent="0.2">
      <c r="A156" s="53"/>
      <c r="B156" s="111" t="s">
        <v>160</v>
      </c>
      <c r="C156" s="47">
        <v>40000</v>
      </c>
      <c r="D156" s="47">
        <v>40000</v>
      </c>
      <c r="E156" s="70">
        <v>42870</v>
      </c>
      <c r="F156" s="70"/>
      <c r="G156" s="101">
        <f t="shared" si="32"/>
        <v>107.175</v>
      </c>
      <c r="H156" s="47">
        <f t="shared" si="33"/>
        <v>107.175</v>
      </c>
      <c r="I156" s="101">
        <f t="shared" si="31"/>
        <v>102.36389684813754</v>
      </c>
      <c r="J156" s="34">
        <v>41880</v>
      </c>
    </row>
    <row r="157" spans="1:10" ht="12.75" customHeight="1" x14ac:dyDescent="0.2">
      <c r="A157" s="53"/>
      <c r="B157" s="111" t="s">
        <v>161</v>
      </c>
      <c r="C157" s="47">
        <v>3000</v>
      </c>
      <c r="D157" s="47">
        <v>3000</v>
      </c>
      <c r="E157" s="70">
        <v>0</v>
      </c>
      <c r="F157" s="70"/>
      <c r="G157" s="101">
        <f t="shared" si="32"/>
        <v>0</v>
      </c>
      <c r="H157" s="47">
        <f t="shared" si="33"/>
        <v>0</v>
      </c>
      <c r="I157" s="101">
        <f t="shared" si="31"/>
        <v>0</v>
      </c>
      <c r="J157" s="34">
        <v>3041</v>
      </c>
    </row>
    <row r="158" spans="1:10" ht="12.75" customHeight="1" x14ac:dyDescent="0.2">
      <c r="A158" s="53"/>
      <c r="B158" s="111" t="s">
        <v>162</v>
      </c>
      <c r="C158" s="47">
        <v>5500000</v>
      </c>
      <c r="D158" s="47">
        <f>5500000-5500000</f>
        <v>0</v>
      </c>
      <c r="E158" s="70">
        <v>0</v>
      </c>
      <c r="F158" s="70"/>
      <c r="G158" s="101">
        <f t="shared" si="32"/>
        <v>0</v>
      </c>
      <c r="H158" s="47">
        <v>0</v>
      </c>
      <c r="I158" s="101">
        <v>0</v>
      </c>
      <c r="J158" s="34">
        <v>0</v>
      </c>
    </row>
    <row r="159" spans="1:10" ht="12.75" customHeight="1" x14ac:dyDescent="0.2">
      <c r="A159" s="147"/>
      <c r="B159" s="148" t="s">
        <v>163</v>
      </c>
      <c r="C159" s="104">
        <v>0</v>
      </c>
      <c r="D159" s="104">
        <v>0</v>
      </c>
      <c r="E159" s="151">
        <v>3957</v>
      </c>
      <c r="F159" s="145"/>
      <c r="G159" s="47">
        <v>0</v>
      </c>
      <c r="H159" s="47">
        <v>0</v>
      </c>
      <c r="I159" s="47">
        <f t="shared" si="31"/>
        <v>59.809552599758163</v>
      </c>
      <c r="J159" s="34">
        <v>6616</v>
      </c>
    </row>
    <row r="160" spans="1:10" x14ac:dyDescent="0.2">
      <c r="A160" s="130"/>
      <c r="B160" s="156" t="s">
        <v>164</v>
      </c>
      <c r="C160" s="47">
        <v>500000</v>
      </c>
      <c r="D160" s="47">
        <v>500000</v>
      </c>
      <c r="E160" s="70">
        <v>0</v>
      </c>
      <c r="F160" s="70"/>
      <c r="G160" s="101">
        <f t="shared" ref="G160:G161" si="35">E160/C160*100</f>
        <v>0</v>
      </c>
      <c r="H160" s="47">
        <f>E160/D160*100</f>
        <v>0</v>
      </c>
      <c r="I160" s="101">
        <v>0</v>
      </c>
      <c r="J160" s="34">
        <v>0</v>
      </c>
    </row>
    <row r="161" spans="1:11" x14ac:dyDescent="0.2">
      <c r="A161" s="135"/>
      <c r="B161" s="152" t="s">
        <v>165</v>
      </c>
      <c r="C161" s="47">
        <v>250000</v>
      </c>
      <c r="D161" s="47">
        <v>0</v>
      </c>
      <c r="E161" s="70">
        <v>0</v>
      </c>
      <c r="F161" s="70"/>
      <c r="G161" s="101">
        <f t="shared" si="35"/>
        <v>0</v>
      </c>
      <c r="H161" s="47">
        <v>0</v>
      </c>
      <c r="I161" s="101">
        <v>0</v>
      </c>
      <c r="J161" s="34">
        <v>0</v>
      </c>
    </row>
    <row r="162" spans="1:11" ht="12.75" customHeight="1" x14ac:dyDescent="0.2">
      <c r="A162" s="53"/>
      <c r="B162" s="111" t="s">
        <v>166</v>
      </c>
      <c r="C162" s="47">
        <v>0</v>
      </c>
      <c r="D162" s="47">
        <f t="shared" ref="D162:D164" si="36">7500000-7500000</f>
        <v>0</v>
      </c>
      <c r="E162" s="70">
        <v>16183.1</v>
      </c>
      <c r="F162" s="70"/>
      <c r="G162" s="101">
        <v>0</v>
      </c>
      <c r="H162" s="47">
        <v>0</v>
      </c>
      <c r="I162" s="101">
        <f>E162/J162*100</f>
        <v>115.77053496058261</v>
      </c>
      <c r="J162" s="34">
        <v>13978.6</v>
      </c>
    </row>
    <row r="163" spans="1:11" ht="12.75" customHeight="1" x14ac:dyDescent="0.2">
      <c r="A163" s="53"/>
      <c r="B163" s="111" t="s">
        <v>167</v>
      </c>
      <c r="C163" s="47">
        <v>0</v>
      </c>
      <c r="D163" s="47">
        <f t="shared" si="36"/>
        <v>0</v>
      </c>
      <c r="E163" s="70">
        <v>36830</v>
      </c>
      <c r="F163" s="70"/>
      <c r="G163" s="101">
        <v>0</v>
      </c>
      <c r="H163" s="47">
        <v>0</v>
      </c>
      <c r="I163" s="101">
        <f t="shared" ref="I163:I166" si="37">E163/J163*100</f>
        <v>139.19175809432386</v>
      </c>
      <c r="J163" s="34">
        <v>26459.9</v>
      </c>
    </row>
    <row r="164" spans="1:11" ht="12.75" customHeight="1" x14ac:dyDescent="0.2">
      <c r="A164" s="53"/>
      <c r="B164" s="111" t="s">
        <v>168</v>
      </c>
      <c r="C164" s="47">
        <v>7500000</v>
      </c>
      <c r="D164" s="47">
        <f t="shared" si="36"/>
        <v>0</v>
      </c>
      <c r="E164" s="70">
        <v>0</v>
      </c>
      <c r="F164" s="70"/>
      <c r="G164" s="101">
        <f t="shared" ref="G164:G165" si="38">E164/C164*100</f>
        <v>0</v>
      </c>
      <c r="H164" s="47">
        <v>0</v>
      </c>
      <c r="I164" s="101">
        <v>0</v>
      </c>
      <c r="J164" s="34">
        <v>0</v>
      </c>
    </row>
    <row r="165" spans="1:11" ht="24.75" x14ac:dyDescent="0.2">
      <c r="A165" s="53"/>
      <c r="B165" s="115" t="s">
        <v>169</v>
      </c>
      <c r="C165" s="47">
        <v>1200000</v>
      </c>
      <c r="D165" s="47">
        <f>1200000-1200000</f>
        <v>0</v>
      </c>
      <c r="E165" s="70">
        <v>0</v>
      </c>
      <c r="F165" s="70"/>
      <c r="G165" s="104">
        <f t="shared" si="38"/>
        <v>0</v>
      </c>
      <c r="H165" s="47">
        <v>0</v>
      </c>
      <c r="I165" s="104">
        <v>0</v>
      </c>
      <c r="J165" s="157">
        <v>0</v>
      </c>
    </row>
    <row r="166" spans="1:11" x14ac:dyDescent="0.2">
      <c r="A166" s="135"/>
      <c r="B166" s="152" t="s">
        <v>170</v>
      </c>
      <c r="C166" s="47">
        <v>0</v>
      </c>
      <c r="D166" s="47">
        <v>0</v>
      </c>
      <c r="E166" s="70">
        <v>3014</v>
      </c>
      <c r="F166" s="70"/>
      <c r="G166" s="101">
        <v>0</v>
      </c>
      <c r="H166" s="47">
        <v>0</v>
      </c>
      <c r="I166" s="101">
        <f t="shared" si="37"/>
        <v>56.325709864661313</v>
      </c>
      <c r="J166" s="34">
        <v>5351.02</v>
      </c>
    </row>
    <row r="167" spans="1:11" ht="12.75" customHeight="1" thickBot="1" x14ac:dyDescent="0.25">
      <c r="A167" s="35"/>
      <c r="B167" s="158"/>
      <c r="C167" s="159"/>
      <c r="D167" s="159"/>
      <c r="E167" s="125"/>
      <c r="F167" s="125"/>
      <c r="G167" s="160"/>
      <c r="H167" s="160"/>
      <c r="I167" s="160"/>
    </row>
    <row r="168" spans="1:11" s="21" customFormat="1" ht="18.75" customHeight="1" thickBot="1" x14ac:dyDescent="0.3">
      <c r="A168" s="161"/>
      <c r="B168" s="162" t="s">
        <v>13</v>
      </c>
      <c r="C168" s="163">
        <f>SUM(C169:C170,C177:C179)</f>
        <v>125171909</v>
      </c>
      <c r="D168" s="163">
        <f>SUM(D169:D170,D177:D179)</f>
        <v>80354209</v>
      </c>
      <c r="E168" s="128">
        <v>31528371.02</v>
      </c>
      <c r="F168" s="129">
        <f>SUM(E169:E170,E177:E179)</f>
        <v>31528371.02</v>
      </c>
      <c r="G168" s="89">
        <f t="shared" ref="G168:G231" si="39">E168/C168*100</f>
        <v>25.188056387316106</v>
      </c>
      <c r="H168" s="89">
        <f t="shared" ref="H168:H229" si="40">E168/D168*100</f>
        <v>39.236738700271445</v>
      </c>
      <c r="I168" s="89">
        <f t="shared" ref="I168:I230" si="41">E168/J168*100</f>
        <v>45.173422564728369</v>
      </c>
      <c r="J168" s="34">
        <v>69794071.890000001</v>
      </c>
    </row>
    <row r="169" spans="1:11" s="21" customFormat="1" ht="36.75" x14ac:dyDescent="0.2">
      <c r="A169" s="130">
        <v>3111</v>
      </c>
      <c r="B169" s="164" t="s">
        <v>171</v>
      </c>
      <c r="C169" s="106">
        <f>(55632000*1.21)+600000</f>
        <v>67914720</v>
      </c>
      <c r="D169" s="106">
        <f>(55632000*1.21)+600000-15180000</f>
        <v>52734720</v>
      </c>
      <c r="E169" s="106">
        <v>31028371.02</v>
      </c>
      <c r="F169" s="47">
        <f>SUM(E169:E169)</f>
        <v>31028371.02</v>
      </c>
      <c r="G169" s="103">
        <f t="shared" si="39"/>
        <v>45.687254574560562</v>
      </c>
      <c r="H169" s="106">
        <f t="shared" si="40"/>
        <v>58.838600110136163</v>
      </c>
      <c r="I169" s="103">
        <f t="shared" si="41"/>
        <v>52.536344347863476</v>
      </c>
      <c r="J169" s="19">
        <v>59060772.890000001</v>
      </c>
      <c r="K169" s="165"/>
    </row>
    <row r="170" spans="1:11" s="21" customFormat="1" ht="12.75" customHeight="1" x14ac:dyDescent="0.2">
      <c r="A170" s="135">
        <v>3112</v>
      </c>
      <c r="B170" s="98" t="s">
        <v>172</v>
      </c>
      <c r="C170" s="114">
        <f>SUM(C171:C176)</f>
        <v>40164000</v>
      </c>
      <c r="D170" s="114">
        <f>SUM(D171:D176)</f>
        <v>13474000</v>
      </c>
      <c r="E170" s="166">
        <v>0</v>
      </c>
      <c r="F170" s="166"/>
      <c r="G170" s="100">
        <f t="shared" si="39"/>
        <v>0</v>
      </c>
      <c r="H170" s="106">
        <f t="shared" si="40"/>
        <v>0</v>
      </c>
      <c r="I170" s="100">
        <f t="shared" si="41"/>
        <v>0</v>
      </c>
      <c r="J170" s="34">
        <v>10226879</v>
      </c>
    </row>
    <row r="171" spans="1:11" s="21" customFormat="1" ht="12.75" customHeight="1" x14ac:dyDescent="0.2">
      <c r="A171" s="135"/>
      <c r="B171" s="167" t="s">
        <v>173</v>
      </c>
      <c r="C171" s="70">
        <v>2364000</v>
      </c>
      <c r="D171" s="70">
        <v>2364000</v>
      </c>
      <c r="E171" s="151">
        <v>0</v>
      </c>
      <c r="F171" s="18"/>
      <c r="G171" s="101">
        <f t="shared" si="39"/>
        <v>0</v>
      </c>
      <c r="H171" s="47">
        <f t="shared" si="40"/>
        <v>0</v>
      </c>
      <c r="I171" s="101">
        <v>0</v>
      </c>
      <c r="J171" s="34">
        <v>0</v>
      </c>
    </row>
    <row r="172" spans="1:11" s="21" customFormat="1" ht="12.75" customHeight="1" x14ac:dyDescent="0.2">
      <c r="A172" s="135"/>
      <c r="B172" s="111" t="s">
        <v>174</v>
      </c>
      <c r="C172" s="47">
        <v>6300000</v>
      </c>
      <c r="D172" s="47">
        <v>6300000</v>
      </c>
      <c r="E172" s="151">
        <v>0</v>
      </c>
      <c r="F172" s="18"/>
      <c r="G172" s="101">
        <f t="shared" si="39"/>
        <v>0</v>
      </c>
      <c r="H172" s="47">
        <f t="shared" si="40"/>
        <v>0</v>
      </c>
      <c r="I172" s="101">
        <v>0</v>
      </c>
      <c r="J172" s="34">
        <v>0</v>
      </c>
    </row>
    <row r="173" spans="1:11" s="21" customFormat="1" ht="12.75" customHeight="1" x14ac:dyDescent="0.2">
      <c r="A173" s="135"/>
      <c r="B173" s="167" t="s">
        <v>175</v>
      </c>
      <c r="C173" s="47">
        <v>5690000</v>
      </c>
      <c r="D173" s="47">
        <f>5690000-5690000</f>
        <v>0</v>
      </c>
      <c r="E173" s="151">
        <v>0</v>
      </c>
      <c r="F173" s="18"/>
      <c r="G173" s="101">
        <f t="shared" si="39"/>
        <v>0</v>
      </c>
      <c r="H173" s="47">
        <v>0</v>
      </c>
      <c r="I173" s="101">
        <v>0</v>
      </c>
      <c r="J173" s="34">
        <v>0</v>
      </c>
    </row>
    <row r="174" spans="1:11" s="21" customFormat="1" ht="12.75" customHeight="1" x14ac:dyDescent="0.2">
      <c r="A174" s="135"/>
      <c r="B174" s="167" t="s">
        <v>176</v>
      </c>
      <c r="C174" s="47">
        <v>4200000</v>
      </c>
      <c r="D174" s="47">
        <v>4200000</v>
      </c>
      <c r="E174" s="151">
        <v>0</v>
      </c>
      <c r="F174" s="18"/>
      <c r="G174" s="101">
        <f t="shared" si="39"/>
        <v>0</v>
      </c>
      <c r="H174" s="47">
        <f t="shared" si="40"/>
        <v>0</v>
      </c>
      <c r="I174" s="101">
        <v>0</v>
      </c>
      <c r="J174" s="34">
        <v>0</v>
      </c>
    </row>
    <row r="175" spans="1:11" s="21" customFormat="1" ht="12.75" customHeight="1" x14ac:dyDescent="0.2">
      <c r="A175" s="135"/>
      <c r="B175" s="167" t="s">
        <v>177</v>
      </c>
      <c r="C175" s="47">
        <v>21000000</v>
      </c>
      <c r="D175" s="47">
        <f>21000000-21000000</f>
        <v>0</v>
      </c>
      <c r="E175" s="151">
        <v>0</v>
      </c>
      <c r="F175" s="18"/>
      <c r="G175" s="101">
        <f t="shared" si="39"/>
        <v>0</v>
      </c>
      <c r="H175" s="47">
        <v>0</v>
      </c>
      <c r="I175" s="101">
        <v>0</v>
      </c>
      <c r="J175" s="34">
        <v>0</v>
      </c>
    </row>
    <row r="176" spans="1:11" s="21" customFormat="1" ht="12.75" customHeight="1" x14ac:dyDescent="0.2">
      <c r="A176" s="135"/>
      <c r="B176" s="167" t="s">
        <v>178</v>
      </c>
      <c r="C176" s="47">
        <v>610000</v>
      </c>
      <c r="D176" s="47">
        <v>610000</v>
      </c>
      <c r="E176" s="151">
        <v>0</v>
      </c>
      <c r="F176" s="18"/>
      <c r="G176" s="101">
        <f t="shared" si="39"/>
        <v>0</v>
      </c>
      <c r="H176" s="47">
        <f t="shared" si="40"/>
        <v>0</v>
      </c>
      <c r="I176" s="101">
        <v>0</v>
      </c>
      <c r="J176" s="34">
        <v>0</v>
      </c>
    </row>
    <row r="177" spans="1:14" s="21" customFormat="1" ht="12.75" customHeight="1" x14ac:dyDescent="0.2">
      <c r="A177" s="135">
        <v>3119</v>
      </c>
      <c r="B177" s="98" t="s">
        <v>179</v>
      </c>
      <c r="C177" s="106">
        <f>370000*1.21</f>
        <v>447700</v>
      </c>
      <c r="D177" s="106">
        <f>(370000*1.21)-447700</f>
        <v>0</v>
      </c>
      <c r="E177" s="166">
        <v>0</v>
      </c>
      <c r="F177" s="166"/>
      <c r="G177" s="100">
        <f t="shared" si="39"/>
        <v>0</v>
      </c>
      <c r="H177" s="106">
        <v>0</v>
      </c>
      <c r="I177" s="100">
        <v>0</v>
      </c>
      <c r="J177" s="34">
        <v>444070</v>
      </c>
    </row>
    <row r="178" spans="1:14" s="21" customFormat="1" ht="25.5" x14ac:dyDescent="0.2">
      <c r="A178" s="135">
        <v>3121</v>
      </c>
      <c r="B178" s="113" t="s">
        <v>180</v>
      </c>
      <c r="C178" s="106">
        <v>500000</v>
      </c>
      <c r="D178" s="106">
        <f>500000+500000</f>
        <v>1000000</v>
      </c>
      <c r="E178" s="109">
        <v>500000</v>
      </c>
      <c r="F178" s="109"/>
      <c r="G178" s="103">
        <f t="shared" si="39"/>
        <v>100</v>
      </c>
      <c r="H178" s="106">
        <f t="shared" si="40"/>
        <v>50</v>
      </c>
      <c r="I178" s="103">
        <v>0</v>
      </c>
      <c r="J178" s="19">
        <v>0</v>
      </c>
    </row>
    <row r="179" spans="1:14" s="21" customFormat="1" ht="12.75" customHeight="1" x14ac:dyDescent="0.2">
      <c r="A179" s="135">
        <v>3129</v>
      </c>
      <c r="B179" s="98" t="s">
        <v>181</v>
      </c>
      <c r="C179" s="114">
        <f>SUM(C180:C183)</f>
        <v>16145489</v>
      </c>
      <c r="D179" s="114">
        <f>SUM(D180:D183)</f>
        <v>13145489</v>
      </c>
      <c r="E179" s="166">
        <v>0</v>
      </c>
      <c r="F179" s="166"/>
      <c r="G179" s="100">
        <f t="shared" si="39"/>
        <v>0</v>
      </c>
      <c r="H179" s="106">
        <f t="shared" si="40"/>
        <v>0</v>
      </c>
      <c r="I179" s="100">
        <v>0</v>
      </c>
      <c r="J179" s="34">
        <v>0</v>
      </c>
    </row>
    <row r="180" spans="1:14" s="21" customFormat="1" ht="12.75" customHeight="1" x14ac:dyDescent="0.2">
      <c r="A180" s="168"/>
      <c r="B180" s="167" t="s">
        <v>182</v>
      </c>
      <c r="C180" s="47">
        <v>1700000</v>
      </c>
      <c r="D180" s="47">
        <v>1700000</v>
      </c>
      <c r="E180" s="18">
        <v>0</v>
      </c>
      <c r="F180" s="18"/>
      <c r="G180" s="101">
        <f t="shared" si="39"/>
        <v>0</v>
      </c>
      <c r="H180" s="47">
        <f t="shared" si="40"/>
        <v>0</v>
      </c>
      <c r="I180" s="101">
        <v>0</v>
      </c>
      <c r="J180" s="34">
        <v>0</v>
      </c>
      <c r="N180" s="150"/>
    </row>
    <row r="181" spans="1:14" s="21" customFormat="1" ht="12.75" customHeight="1" x14ac:dyDescent="0.2">
      <c r="A181" s="168"/>
      <c r="B181" s="169" t="s">
        <v>183</v>
      </c>
      <c r="C181" s="47">
        <v>4330676</v>
      </c>
      <c r="D181" s="47">
        <v>4330676</v>
      </c>
      <c r="E181" s="18">
        <v>0</v>
      </c>
      <c r="F181" s="18"/>
      <c r="G181" s="101">
        <f t="shared" si="39"/>
        <v>0</v>
      </c>
      <c r="H181" s="47">
        <f t="shared" si="40"/>
        <v>0</v>
      </c>
      <c r="I181" s="101">
        <v>0</v>
      </c>
      <c r="J181" s="34">
        <v>0</v>
      </c>
      <c r="N181" s="150"/>
    </row>
    <row r="182" spans="1:14" s="21" customFormat="1" ht="12.75" customHeight="1" x14ac:dyDescent="0.2">
      <c r="A182" s="168"/>
      <c r="B182" s="169" t="s">
        <v>184</v>
      </c>
      <c r="C182" s="47">
        <v>7114813</v>
      </c>
      <c r="D182" s="47">
        <v>7114813</v>
      </c>
      <c r="E182" s="18">
        <v>0</v>
      </c>
      <c r="F182"/>
      <c r="G182" s="101">
        <f t="shared" si="39"/>
        <v>0</v>
      </c>
      <c r="H182" s="47">
        <f t="shared" si="40"/>
        <v>0</v>
      </c>
      <c r="I182" s="101">
        <v>0</v>
      </c>
      <c r="J182" s="34">
        <v>0</v>
      </c>
      <c r="N182" s="150"/>
    </row>
    <row r="183" spans="1:14" s="21" customFormat="1" ht="12.75" customHeight="1" x14ac:dyDescent="0.2">
      <c r="A183" s="168"/>
      <c r="B183" s="169" t="s">
        <v>185</v>
      </c>
      <c r="C183" s="47">
        <v>3000000</v>
      </c>
      <c r="D183" s="47">
        <f>3000000-3000000</f>
        <v>0</v>
      </c>
      <c r="E183" s="18">
        <v>0</v>
      </c>
      <c r="F183" s="18"/>
      <c r="G183" s="101">
        <f t="shared" si="39"/>
        <v>0</v>
      </c>
      <c r="H183" s="47">
        <v>0</v>
      </c>
      <c r="I183" s="101">
        <v>0</v>
      </c>
      <c r="J183" s="34">
        <v>0</v>
      </c>
      <c r="N183" s="150"/>
    </row>
    <row r="184" spans="1:14" s="21" customFormat="1" ht="13.5" thickBot="1" x14ac:dyDescent="0.25">
      <c r="A184" s="136"/>
      <c r="B184" s="122"/>
      <c r="C184" s="170"/>
      <c r="D184" s="170"/>
      <c r="E184" s="125"/>
      <c r="F184" s="171"/>
      <c r="G184" s="160"/>
      <c r="H184" s="160"/>
      <c r="I184" s="160"/>
      <c r="J184" s="34"/>
    </row>
    <row r="185" spans="1:14" s="21" customFormat="1" ht="18.75" customHeight="1" thickBot="1" x14ac:dyDescent="0.3">
      <c r="A185" s="172"/>
      <c r="B185" s="86" t="s">
        <v>186</v>
      </c>
      <c r="C185" s="173">
        <f>SUM(C186,C190:C191,C208,C218,C229,C230,C232,C245)</f>
        <v>76253712.853499994</v>
      </c>
      <c r="D185" s="173">
        <f>SUM(D186,D190:D191,D208,D218,D229,D230,D232,D245)</f>
        <v>130047445.3635</v>
      </c>
      <c r="E185" s="128">
        <v>130606845.36</v>
      </c>
      <c r="F185" s="128">
        <f>SUM(E186,E190:E191,E208,E218,E229:E230,E232,E245)</f>
        <v>130606845.36</v>
      </c>
      <c r="G185" s="89">
        <f t="shared" si="39"/>
        <v>171.27932591416791</v>
      </c>
      <c r="H185" s="89">
        <f t="shared" si="40"/>
        <v>100.4301506999514</v>
      </c>
      <c r="I185" s="89">
        <f t="shared" si="41"/>
        <v>124.46334329789397</v>
      </c>
      <c r="J185" s="34">
        <v>104935993.12</v>
      </c>
    </row>
    <row r="186" spans="1:14" s="21" customFormat="1" ht="12.75" customHeight="1" x14ac:dyDescent="0.2">
      <c r="A186" s="174">
        <v>4111</v>
      </c>
      <c r="B186" s="174" t="s">
        <v>187</v>
      </c>
      <c r="C186" s="175">
        <f>SUM(C187:C189)</f>
        <v>0</v>
      </c>
      <c r="D186" s="175">
        <f>SUM(D187:D189)</f>
        <v>2815779.18</v>
      </c>
      <c r="E186" s="131">
        <v>2815779.18</v>
      </c>
      <c r="F186" s="176">
        <f>SUM(E187:E189)</f>
        <v>2815779.1799999997</v>
      </c>
      <c r="G186" s="106">
        <v>0</v>
      </c>
      <c r="H186" s="106">
        <f t="shared" si="40"/>
        <v>100</v>
      </c>
      <c r="I186" s="106">
        <f t="shared" si="41"/>
        <v>47.197383619724356</v>
      </c>
      <c r="J186" s="34">
        <v>5965964.5599999996</v>
      </c>
      <c r="L186" s="177"/>
      <c r="M186" s="177"/>
    </row>
    <row r="187" spans="1:14" s="21" customFormat="1" ht="12.75" customHeight="1" x14ac:dyDescent="0.2">
      <c r="A187" s="174"/>
      <c r="B187" s="178" t="s">
        <v>188</v>
      </c>
      <c r="C187" s="179">
        <v>0</v>
      </c>
      <c r="D187" s="179">
        <v>221800</v>
      </c>
      <c r="E187" s="47">
        <v>221800</v>
      </c>
      <c r="F187" s="47"/>
      <c r="G187" s="47">
        <v>0</v>
      </c>
      <c r="H187" s="47">
        <f t="shared" si="40"/>
        <v>100</v>
      </c>
      <c r="I187" s="47">
        <v>0</v>
      </c>
      <c r="J187" s="19">
        <v>0</v>
      </c>
      <c r="L187" s="180"/>
      <c r="M187" s="180"/>
      <c r="N187"/>
    </row>
    <row r="188" spans="1:14" s="21" customFormat="1" ht="12.75" customHeight="1" x14ac:dyDescent="0.2">
      <c r="A188" s="174"/>
      <c r="B188" s="178" t="s">
        <v>189</v>
      </c>
      <c r="C188" s="179">
        <v>0</v>
      </c>
      <c r="D188" s="179">
        <f>54994.85+1462984.33</f>
        <v>1517979.1800000002</v>
      </c>
      <c r="E188" s="47">
        <v>1517979.18</v>
      </c>
      <c r="F188" s="47"/>
      <c r="G188" s="47">
        <v>0</v>
      </c>
      <c r="H188" s="47">
        <f t="shared" si="40"/>
        <v>99.999999999999986</v>
      </c>
      <c r="I188" s="47">
        <f t="shared" si="41"/>
        <v>28.853628696559781</v>
      </c>
      <c r="J188" s="19">
        <v>5260964.5599999996</v>
      </c>
      <c r="L188" s="180"/>
      <c r="M188" s="180"/>
      <c r="N188"/>
    </row>
    <row r="189" spans="1:14" s="21" customFormat="1" ht="12.75" customHeight="1" x14ac:dyDescent="0.2">
      <c r="A189" s="174"/>
      <c r="B189" s="178" t="s">
        <v>190</v>
      </c>
      <c r="C189" s="179">
        <v>0</v>
      </c>
      <c r="D189" s="179">
        <v>1076000</v>
      </c>
      <c r="E189" s="47">
        <v>1076000</v>
      </c>
      <c r="F189" s="47"/>
      <c r="G189" s="47">
        <v>0</v>
      </c>
      <c r="H189" s="47">
        <f t="shared" si="40"/>
        <v>100</v>
      </c>
      <c r="I189" s="47">
        <v>0</v>
      </c>
      <c r="J189" s="19">
        <v>0</v>
      </c>
      <c r="L189" s="180"/>
      <c r="M189" s="180"/>
      <c r="N189"/>
    </row>
    <row r="190" spans="1:14" ht="25.5" x14ac:dyDescent="0.2">
      <c r="A190" s="130">
        <v>4112</v>
      </c>
      <c r="B190" s="140" t="s">
        <v>191</v>
      </c>
      <c r="C190" s="106">
        <f>(958935.0949+709659.9826+520950+433320+542800+39919+4236063.649+7723640.937+23616817.65+627210+1363000+1530786+236555+42.69)+918800</f>
        <v>43458500.0035</v>
      </c>
      <c r="D190" s="106">
        <f>(958935.0949+709659.9826+520950+433320+542800+39919+4236063.649+7723640.937+23616817.65+627210+1363000+1530786+236555+42.69)+918800+209800</f>
        <v>43668300.0035</v>
      </c>
      <c r="E190" s="106">
        <v>43668300</v>
      </c>
      <c r="F190" s="106"/>
      <c r="G190" s="103">
        <f t="shared" si="39"/>
        <v>100.48275940606119</v>
      </c>
      <c r="H190" s="106">
        <f t="shared" si="40"/>
        <v>99.999999991985035</v>
      </c>
      <c r="I190" s="103">
        <f t="shared" si="41"/>
        <v>100.48275941415375</v>
      </c>
      <c r="J190" s="19">
        <v>43458500</v>
      </c>
    </row>
    <row r="191" spans="1:14" s="21" customFormat="1" ht="12.75" customHeight="1" x14ac:dyDescent="0.2">
      <c r="A191" s="135">
        <v>4116</v>
      </c>
      <c r="B191" s="98" t="s">
        <v>192</v>
      </c>
      <c r="C191" s="114">
        <f>SUM(C192:C207)</f>
        <v>100000</v>
      </c>
      <c r="D191" s="114">
        <f>SUM(D192:D207)</f>
        <v>20704259.890000001</v>
      </c>
      <c r="E191" s="114">
        <v>20704259.890000001</v>
      </c>
      <c r="F191" s="70">
        <f>SUM(E201:E207)</f>
        <v>7468434</v>
      </c>
      <c r="G191" s="100">
        <f t="shared" si="39"/>
        <v>20704.259890000001</v>
      </c>
      <c r="H191" s="106">
        <f t="shared" si="40"/>
        <v>100</v>
      </c>
      <c r="I191" s="100">
        <f t="shared" si="41"/>
        <v>98.028321657263888</v>
      </c>
      <c r="J191" s="34">
        <v>21120692</v>
      </c>
    </row>
    <row r="192" spans="1:14" ht="12.75" customHeight="1" x14ac:dyDescent="0.2">
      <c r="A192" s="111"/>
      <c r="B192" s="111" t="s">
        <v>193</v>
      </c>
      <c r="C192" s="47">
        <v>0</v>
      </c>
      <c r="D192" s="47">
        <v>1144538</v>
      </c>
      <c r="E192" s="151">
        <v>1144538</v>
      </c>
      <c r="F192" s="18"/>
      <c r="G192" s="101">
        <v>0</v>
      </c>
      <c r="H192" s="47">
        <f t="shared" si="40"/>
        <v>100</v>
      </c>
      <c r="I192" s="101">
        <f t="shared" si="41"/>
        <v>94.497294387484658</v>
      </c>
      <c r="J192" s="34">
        <v>1211186</v>
      </c>
    </row>
    <row r="193" spans="1:11" ht="12.75" customHeight="1" x14ac:dyDescent="0.2">
      <c r="A193" s="148"/>
      <c r="B193" s="148" t="s">
        <v>194</v>
      </c>
      <c r="C193" s="47">
        <v>0</v>
      </c>
      <c r="D193" s="47">
        <v>7476000</v>
      </c>
      <c r="E193" s="70">
        <v>7476000</v>
      </c>
      <c r="F193" s="70"/>
      <c r="G193" s="47">
        <v>0</v>
      </c>
      <c r="H193" s="47">
        <f t="shared" si="40"/>
        <v>100</v>
      </c>
      <c r="I193" s="47">
        <f t="shared" si="41"/>
        <v>209.23886424383213</v>
      </c>
      <c r="J193" s="34">
        <v>3572950</v>
      </c>
    </row>
    <row r="194" spans="1:11" s="21" customFormat="1" ht="12.75" customHeight="1" x14ac:dyDescent="0.2">
      <c r="A194" s="168"/>
      <c r="B194" s="111" t="s">
        <v>195</v>
      </c>
      <c r="C194" s="47">
        <v>0</v>
      </c>
      <c r="D194" s="47">
        <v>180804.25</v>
      </c>
      <c r="E194" s="70">
        <v>180804.25</v>
      </c>
      <c r="F194" s="70"/>
      <c r="G194" s="47">
        <v>0</v>
      </c>
      <c r="H194" s="47">
        <f t="shared" si="40"/>
        <v>100</v>
      </c>
      <c r="I194" s="47">
        <f t="shared" si="41"/>
        <v>264.13957169197431</v>
      </c>
      <c r="J194" s="34">
        <v>68450.27</v>
      </c>
      <c r="K194" s="150"/>
    </row>
    <row r="195" spans="1:11" s="21" customFormat="1" ht="12.75" customHeight="1" x14ac:dyDescent="0.2">
      <c r="A195" s="168"/>
      <c r="B195" s="111" t="s">
        <v>196</v>
      </c>
      <c r="C195" s="47">
        <v>0</v>
      </c>
      <c r="D195" s="47">
        <v>3073672.15</v>
      </c>
      <c r="E195" s="70">
        <v>3073672.15</v>
      </c>
      <c r="F195" s="70"/>
      <c r="G195" s="47">
        <v>0</v>
      </c>
      <c r="H195" s="47">
        <f t="shared" si="40"/>
        <v>100</v>
      </c>
      <c r="I195" s="47">
        <f t="shared" si="41"/>
        <v>264.13955401870402</v>
      </c>
      <c r="J195" s="34">
        <v>1163654.6299999999</v>
      </c>
      <c r="K195" s="150"/>
    </row>
    <row r="196" spans="1:11" s="21" customFormat="1" ht="12.75" customHeight="1" x14ac:dyDescent="0.2">
      <c r="A196" s="168"/>
      <c r="B196" s="111" t="s">
        <v>197</v>
      </c>
      <c r="C196" s="47">
        <v>0</v>
      </c>
      <c r="D196" s="47">
        <v>847</v>
      </c>
      <c r="E196" s="70">
        <v>847</v>
      </c>
      <c r="F196" s="70"/>
      <c r="G196" s="47">
        <v>0</v>
      </c>
      <c r="H196" s="47">
        <f t="shared" si="40"/>
        <v>100</v>
      </c>
      <c r="I196" s="47">
        <v>0</v>
      </c>
      <c r="J196" s="34">
        <v>0</v>
      </c>
      <c r="K196" s="150"/>
    </row>
    <row r="197" spans="1:11" s="21" customFormat="1" ht="12.75" customHeight="1" x14ac:dyDescent="0.2">
      <c r="A197" s="168"/>
      <c r="B197" s="111" t="s">
        <v>198</v>
      </c>
      <c r="C197" s="47">
        <v>0</v>
      </c>
      <c r="D197" s="47">
        <v>16940</v>
      </c>
      <c r="E197" s="70">
        <v>16940</v>
      </c>
      <c r="F197" s="70"/>
      <c r="G197" s="47">
        <v>0</v>
      </c>
      <c r="H197" s="47">
        <f t="shared" si="40"/>
        <v>100</v>
      </c>
      <c r="I197" s="47">
        <v>0</v>
      </c>
      <c r="J197" s="34">
        <v>0</v>
      </c>
      <c r="K197" s="150"/>
    </row>
    <row r="198" spans="1:11" s="21" customFormat="1" ht="12.75" customHeight="1" x14ac:dyDescent="0.2">
      <c r="A198" s="168"/>
      <c r="B198" s="111" t="s">
        <v>199</v>
      </c>
      <c r="C198" s="47">
        <v>0</v>
      </c>
      <c r="D198" s="47">
        <v>74612.47</v>
      </c>
      <c r="E198" s="70">
        <v>74612.47</v>
      </c>
      <c r="F198" s="70"/>
      <c r="G198" s="47">
        <v>0</v>
      </c>
      <c r="H198" s="47">
        <f t="shared" si="40"/>
        <v>100</v>
      </c>
      <c r="I198" s="47">
        <v>0</v>
      </c>
      <c r="J198" s="34">
        <v>0</v>
      </c>
      <c r="K198" s="150"/>
    </row>
    <row r="199" spans="1:11" s="21" customFormat="1" ht="12.75" customHeight="1" x14ac:dyDescent="0.2">
      <c r="A199" s="168"/>
      <c r="B199" s="111" t="s">
        <v>200</v>
      </c>
      <c r="C199" s="47">
        <v>0</v>
      </c>
      <c r="D199" s="47">
        <v>1268412.02</v>
      </c>
      <c r="E199" s="70">
        <v>1268412.02</v>
      </c>
      <c r="F199" s="70"/>
      <c r="G199" s="47">
        <v>0</v>
      </c>
      <c r="H199" s="47">
        <f t="shared" si="40"/>
        <v>100</v>
      </c>
      <c r="I199" s="47">
        <v>0</v>
      </c>
      <c r="J199" s="34">
        <v>0</v>
      </c>
      <c r="K199" s="150"/>
    </row>
    <row r="200" spans="1:11" ht="12.75" customHeight="1" x14ac:dyDescent="0.2">
      <c r="A200" s="53"/>
      <c r="B200" s="111" t="s">
        <v>201</v>
      </c>
      <c r="C200" s="47">
        <v>100000</v>
      </c>
      <c r="D200" s="47">
        <f>100000-15600-84400</f>
        <v>0</v>
      </c>
      <c r="E200" s="181">
        <v>0</v>
      </c>
      <c r="F200" s="181"/>
      <c r="G200" s="101">
        <f t="shared" si="39"/>
        <v>0</v>
      </c>
      <c r="H200" s="47">
        <v>0</v>
      </c>
      <c r="I200" s="101">
        <v>0</v>
      </c>
      <c r="J200" s="34">
        <v>0</v>
      </c>
    </row>
    <row r="201" spans="1:11" ht="12.75" customHeight="1" x14ac:dyDescent="0.2">
      <c r="A201" s="53"/>
      <c r="B201" s="111" t="s">
        <v>202</v>
      </c>
      <c r="C201" s="47">
        <v>0</v>
      </c>
      <c r="D201" s="47">
        <v>15600</v>
      </c>
      <c r="E201" s="181">
        <v>15600</v>
      </c>
      <c r="F201" s="181"/>
      <c r="G201" s="101">
        <v>0</v>
      </c>
      <c r="H201" s="47">
        <f t="shared" si="40"/>
        <v>100</v>
      </c>
      <c r="I201" s="101">
        <v>0</v>
      </c>
      <c r="J201" s="34">
        <v>0</v>
      </c>
    </row>
    <row r="202" spans="1:11" s="21" customFormat="1" ht="12.75" customHeight="1" x14ac:dyDescent="0.2">
      <c r="A202" s="168"/>
      <c r="B202" s="111" t="s">
        <v>203</v>
      </c>
      <c r="C202" s="47">
        <v>0</v>
      </c>
      <c r="D202" s="47">
        <f>205167.05+676702.95</f>
        <v>881870</v>
      </c>
      <c r="E202" s="182">
        <v>881870</v>
      </c>
      <c r="F202" s="125"/>
      <c r="G202" s="47">
        <v>0</v>
      </c>
      <c r="H202" s="47">
        <f t="shared" si="40"/>
        <v>100</v>
      </c>
      <c r="I202" s="47">
        <v>0</v>
      </c>
      <c r="J202" s="34">
        <v>0</v>
      </c>
      <c r="K202" s="150"/>
    </row>
    <row r="203" spans="1:11" s="21" customFormat="1" ht="12.75" customHeight="1" x14ac:dyDescent="0.2">
      <c r="A203" s="168"/>
      <c r="B203" s="111" t="s">
        <v>204</v>
      </c>
      <c r="C203" s="47">
        <v>0</v>
      </c>
      <c r="D203" s="47">
        <f>181310.43+598016.57</f>
        <v>779327</v>
      </c>
      <c r="E203" s="182">
        <v>779327</v>
      </c>
      <c r="F203" s="125"/>
      <c r="G203" s="47">
        <v>0</v>
      </c>
      <c r="H203" s="47">
        <f t="shared" si="40"/>
        <v>100</v>
      </c>
      <c r="I203" s="47">
        <v>0</v>
      </c>
      <c r="J203" s="34">
        <v>0</v>
      </c>
      <c r="K203" s="150"/>
    </row>
    <row r="204" spans="1:11" s="21" customFormat="1" ht="12.75" customHeight="1" x14ac:dyDescent="0.2">
      <c r="A204" s="168"/>
      <c r="B204" s="111" t="s">
        <v>205</v>
      </c>
      <c r="C204" s="47">
        <v>0</v>
      </c>
      <c r="D204" s="47">
        <f>254662.65+839954.35</f>
        <v>1094617</v>
      </c>
      <c r="E204" s="182">
        <v>1094617</v>
      </c>
      <c r="F204" s="125"/>
      <c r="G204" s="47">
        <v>0</v>
      </c>
      <c r="H204" s="47">
        <f t="shared" si="40"/>
        <v>100</v>
      </c>
      <c r="I204" s="47">
        <v>0</v>
      </c>
      <c r="J204" s="34">
        <v>0</v>
      </c>
      <c r="K204" s="150"/>
    </row>
    <row r="205" spans="1:11" s="21" customFormat="1" ht="12.75" customHeight="1" x14ac:dyDescent="0.2">
      <c r="A205" s="168"/>
      <c r="B205" s="111" t="s">
        <v>206</v>
      </c>
      <c r="C205" s="47">
        <v>0</v>
      </c>
      <c r="D205" s="47">
        <f>949216.65+3130803.35</f>
        <v>4080020</v>
      </c>
      <c r="E205" s="182">
        <v>4080020</v>
      </c>
      <c r="F205" s="125"/>
      <c r="G205" s="47">
        <v>0</v>
      </c>
      <c r="H205" s="47">
        <f t="shared" si="40"/>
        <v>100</v>
      </c>
      <c r="I205" s="47">
        <v>0</v>
      </c>
      <c r="J205" s="34">
        <v>0</v>
      </c>
      <c r="K205" s="150"/>
    </row>
    <row r="206" spans="1:11" s="21" customFormat="1" ht="12.75" customHeight="1" x14ac:dyDescent="0.2">
      <c r="A206" s="168"/>
      <c r="B206" s="111" t="s">
        <v>207</v>
      </c>
      <c r="C206" s="47">
        <v>0</v>
      </c>
      <c r="D206" s="47">
        <v>47000</v>
      </c>
      <c r="E206" s="182">
        <v>47000</v>
      </c>
      <c r="F206" s="125"/>
      <c r="G206" s="47">
        <v>0</v>
      </c>
      <c r="H206" s="47">
        <f t="shared" si="40"/>
        <v>100</v>
      </c>
      <c r="I206" s="47">
        <v>0</v>
      </c>
      <c r="J206" s="34">
        <v>0</v>
      </c>
      <c r="K206" s="150"/>
    </row>
    <row r="207" spans="1:11" s="21" customFormat="1" ht="12.75" customHeight="1" x14ac:dyDescent="0.2">
      <c r="A207" s="168"/>
      <c r="B207" s="111" t="s">
        <v>208</v>
      </c>
      <c r="C207" s="47">
        <v>0</v>
      </c>
      <c r="D207" s="47">
        <v>570000</v>
      </c>
      <c r="E207" s="182">
        <v>570000</v>
      </c>
      <c r="F207" s="125"/>
      <c r="G207" s="47">
        <v>0</v>
      </c>
      <c r="H207" s="47">
        <f t="shared" si="40"/>
        <v>100</v>
      </c>
      <c r="I207" s="47">
        <f t="shared" si="41"/>
        <v>61.356297093649083</v>
      </c>
      <c r="J207" s="34">
        <v>929000</v>
      </c>
      <c r="K207" s="150"/>
    </row>
    <row r="208" spans="1:11" ht="12.75" customHeight="1" x14ac:dyDescent="0.2">
      <c r="A208" s="135">
        <v>4121</v>
      </c>
      <c r="B208" s="98" t="s">
        <v>209</v>
      </c>
      <c r="C208" s="114">
        <f>SUM(C209:C217)</f>
        <v>1918937</v>
      </c>
      <c r="D208" s="114">
        <f>SUM(D209:D217)</f>
        <v>2185753.36</v>
      </c>
      <c r="E208" s="166">
        <v>2185753.36</v>
      </c>
      <c r="F208" s="166">
        <f>SUM(E209:E217)</f>
        <v>2185753.36</v>
      </c>
      <c r="G208" s="100">
        <f t="shared" si="39"/>
        <v>113.90438352066793</v>
      </c>
      <c r="H208" s="106">
        <f t="shared" si="40"/>
        <v>100</v>
      </c>
      <c r="I208" s="100">
        <f t="shared" si="41"/>
        <v>91.000618657538297</v>
      </c>
      <c r="J208" s="34">
        <v>2401910.44</v>
      </c>
    </row>
    <row r="209" spans="1:14" ht="12.75" customHeight="1" x14ac:dyDescent="0.2">
      <c r="A209" s="135"/>
      <c r="B209" s="111" t="s">
        <v>210</v>
      </c>
      <c r="C209" s="47">
        <v>290000</v>
      </c>
      <c r="D209" s="47">
        <v>290000</v>
      </c>
      <c r="E209" s="151">
        <v>290000</v>
      </c>
      <c r="F209" s="18"/>
      <c r="G209" s="101">
        <f t="shared" si="39"/>
        <v>100</v>
      </c>
      <c r="H209" s="47">
        <f t="shared" si="40"/>
        <v>100</v>
      </c>
      <c r="I209" s="101">
        <f t="shared" si="41"/>
        <v>98.639455782312922</v>
      </c>
      <c r="J209" s="34">
        <v>294000</v>
      </c>
    </row>
    <row r="210" spans="1:14" x14ac:dyDescent="0.2">
      <c r="A210" s="135"/>
      <c r="B210" s="111" t="s">
        <v>211</v>
      </c>
      <c r="C210" s="47">
        <v>3000</v>
      </c>
      <c r="D210" s="47">
        <f>3000-1043</f>
        <v>1957</v>
      </c>
      <c r="E210" s="151">
        <v>1957</v>
      </c>
      <c r="F210" s="18"/>
      <c r="G210" s="101">
        <f t="shared" si="39"/>
        <v>65.233333333333334</v>
      </c>
      <c r="H210" s="47">
        <f t="shared" si="40"/>
        <v>100</v>
      </c>
      <c r="I210" s="101">
        <f t="shared" si="41"/>
        <v>53.36933104257001</v>
      </c>
      <c r="J210" s="34">
        <v>3666.9</v>
      </c>
    </row>
    <row r="211" spans="1:14" x14ac:dyDescent="0.2">
      <c r="A211" s="135"/>
      <c r="B211" s="111" t="s">
        <v>212</v>
      </c>
      <c r="C211" s="47">
        <v>0</v>
      </c>
      <c r="D211" s="47">
        <v>20000</v>
      </c>
      <c r="E211" s="151">
        <v>20000</v>
      </c>
      <c r="F211" s="18"/>
      <c r="G211" s="101">
        <v>0</v>
      </c>
      <c r="H211" s="47">
        <f t="shared" si="40"/>
        <v>100</v>
      </c>
      <c r="I211" s="101">
        <v>0</v>
      </c>
      <c r="J211" s="34">
        <v>0</v>
      </c>
    </row>
    <row r="212" spans="1:14" ht="12.75" customHeight="1" x14ac:dyDescent="0.2">
      <c r="A212" s="98"/>
      <c r="B212" s="111" t="s">
        <v>213</v>
      </c>
      <c r="C212" s="47">
        <v>731395</v>
      </c>
      <c r="D212" s="47">
        <f>731395-64171</f>
        <v>667224</v>
      </c>
      <c r="E212" s="151">
        <v>667224</v>
      </c>
      <c r="F212" s="18"/>
      <c r="G212" s="101">
        <f t="shared" si="39"/>
        <v>91.226218390883176</v>
      </c>
      <c r="H212" s="47">
        <f t="shared" si="40"/>
        <v>100</v>
      </c>
      <c r="I212" s="101">
        <f t="shared" si="41"/>
        <v>92.761086233287401</v>
      </c>
      <c r="J212" s="34">
        <v>719293</v>
      </c>
      <c r="N212" s="150"/>
    </row>
    <row r="213" spans="1:14" ht="12.75" customHeight="1" x14ac:dyDescent="0.2">
      <c r="A213" s="98"/>
      <c r="B213" s="111" t="s">
        <v>214</v>
      </c>
      <c r="C213" s="47">
        <v>562866</v>
      </c>
      <c r="D213" s="47">
        <f>562866+326757</f>
        <v>889623</v>
      </c>
      <c r="E213" s="151">
        <v>889623</v>
      </c>
      <c r="F213" s="18"/>
      <c r="G213" s="101">
        <f t="shared" si="39"/>
        <v>158.05236059737132</v>
      </c>
      <c r="H213" s="47">
        <f t="shared" si="40"/>
        <v>100</v>
      </c>
      <c r="I213" s="101">
        <f t="shared" si="41"/>
        <v>140.54675317904554</v>
      </c>
      <c r="J213" s="34">
        <v>632973</v>
      </c>
      <c r="N213" s="150"/>
    </row>
    <row r="214" spans="1:14" ht="12.75" customHeight="1" x14ac:dyDescent="0.2">
      <c r="A214" s="98"/>
      <c r="B214" s="111" t="s">
        <v>215</v>
      </c>
      <c r="C214" s="47">
        <v>231376</v>
      </c>
      <c r="D214" s="47">
        <v>231376</v>
      </c>
      <c r="E214" s="18">
        <v>231376</v>
      </c>
      <c r="F214" s="18"/>
      <c r="G214" s="101">
        <f t="shared" si="39"/>
        <v>100</v>
      </c>
      <c r="H214" s="47">
        <f t="shared" si="40"/>
        <v>100</v>
      </c>
      <c r="I214" s="101">
        <f t="shared" si="41"/>
        <v>154.63312593147049</v>
      </c>
      <c r="J214" s="34">
        <v>149629</v>
      </c>
      <c r="N214" s="150"/>
    </row>
    <row r="215" spans="1:14" ht="12.75" customHeight="1" x14ac:dyDescent="0.2">
      <c r="A215" s="98"/>
      <c r="B215" s="111" t="s">
        <v>216</v>
      </c>
      <c r="C215" s="47">
        <v>100000</v>
      </c>
      <c r="D215" s="47">
        <f>100000-17426.64</f>
        <v>82573.36</v>
      </c>
      <c r="E215" s="18">
        <v>82573.36</v>
      </c>
      <c r="F215" s="18"/>
      <c r="G215" s="101">
        <f t="shared" si="39"/>
        <v>82.573359999999994</v>
      </c>
      <c r="H215" s="47">
        <f t="shared" si="40"/>
        <v>100</v>
      </c>
      <c r="I215" s="101">
        <f t="shared" si="41"/>
        <v>13.807133447729845</v>
      </c>
      <c r="J215" s="34">
        <v>598048.54</v>
      </c>
    </row>
    <row r="216" spans="1:14" ht="12.75" customHeight="1" x14ac:dyDescent="0.2">
      <c r="A216" s="98"/>
      <c r="B216" s="111" t="s">
        <v>217</v>
      </c>
      <c r="C216" s="47">
        <v>0</v>
      </c>
      <c r="D216" s="47">
        <v>3000</v>
      </c>
      <c r="E216" s="182">
        <v>3000</v>
      </c>
      <c r="F216" s="125"/>
      <c r="G216" s="47">
        <v>0</v>
      </c>
      <c r="H216" s="47">
        <v>0</v>
      </c>
      <c r="I216" s="47">
        <f t="shared" si="41"/>
        <v>75</v>
      </c>
      <c r="J216" s="34">
        <v>4000</v>
      </c>
    </row>
    <row r="217" spans="1:14" x14ac:dyDescent="0.2">
      <c r="A217" s="135"/>
      <c r="B217" s="111" t="s">
        <v>218</v>
      </c>
      <c r="C217" s="47">
        <v>300</v>
      </c>
      <c r="D217" s="47">
        <f>300-300</f>
        <v>0</v>
      </c>
      <c r="E217" s="151">
        <v>0</v>
      </c>
      <c r="F217" s="18"/>
      <c r="G217" s="101">
        <f t="shared" si="39"/>
        <v>0</v>
      </c>
      <c r="H217" s="47">
        <v>0</v>
      </c>
      <c r="I217" s="101">
        <f t="shared" si="41"/>
        <v>0</v>
      </c>
      <c r="J217" s="34">
        <v>300</v>
      </c>
    </row>
    <row r="218" spans="1:14" ht="12.75" customHeight="1" x14ac:dyDescent="0.2">
      <c r="A218" s="98">
        <v>4122</v>
      </c>
      <c r="B218" s="113" t="s">
        <v>219</v>
      </c>
      <c r="C218" s="114">
        <f>SUM(C220:C228)</f>
        <v>0</v>
      </c>
      <c r="D218" s="114">
        <f>SUM(D219:D228)</f>
        <v>15079790.359999999</v>
      </c>
      <c r="E218" s="114">
        <v>15079790.359999999</v>
      </c>
      <c r="F218" s="70">
        <f>SUM(E219:E228)</f>
        <v>15079790.359999999</v>
      </c>
      <c r="G218" s="106">
        <v>0</v>
      </c>
      <c r="H218" s="106">
        <f t="shared" si="40"/>
        <v>100</v>
      </c>
      <c r="I218" s="106">
        <f t="shared" si="41"/>
        <v>146.11924331074658</v>
      </c>
      <c r="J218" s="34">
        <v>10320194.67</v>
      </c>
      <c r="K218" s="150"/>
    </row>
    <row r="219" spans="1:14" s="21" customFormat="1" ht="12.75" customHeight="1" x14ac:dyDescent="0.2">
      <c r="A219" s="168"/>
      <c r="B219" s="167" t="s">
        <v>220</v>
      </c>
      <c r="C219" s="47">
        <v>0</v>
      </c>
      <c r="D219" s="47">
        <v>50000</v>
      </c>
      <c r="E219" s="70">
        <v>50000</v>
      </c>
      <c r="F219" s="70"/>
      <c r="G219" s="47">
        <v>0</v>
      </c>
      <c r="H219" s="47">
        <f t="shared" si="40"/>
        <v>100</v>
      </c>
      <c r="I219" s="47">
        <v>0</v>
      </c>
      <c r="J219" s="34">
        <v>0</v>
      </c>
      <c r="K219" s="150"/>
    </row>
    <row r="220" spans="1:14" s="21" customFormat="1" ht="12.75" customHeight="1" x14ac:dyDescent="0.2">
      <c r="A220" s="168"/>
      <c r="B220" s="167" t="s">
        <v>221</v>
      </c>
      <c r="C220" s="47">
        <v>0</v>
      </c>
      <c r="D220" s="47">
        <f>188000</f>
        <v>188000</v>
      </c>
      <c r="E220" s="70">
        <v>188000</v>
      </c>
      <c r="F220" s="70"/>
      <c r="G220" s="47">
        <v>0</v>
      </c>
      <c r="H220" s="47">
        <f t="shared" si="40"/>
        <v>100</v>
      </c>
      <c r="I220" s="47">
        <f t="shared" si="41"/>
        <v>188</v>
      </c>
      <c r="J220" s="34">
        <v>100000</v>
      </c>
      <c r="K220" s="150"/>
    </row>
    <row r="221" spans="1:14" s="21" customFormat="1" ht="12.75" customHeight="1" x14ac:dyDescent="0.2">
      <c r="A221" s="168"/>
      <c r="B221" s="167" t="s">
        <v>222</v>
      </c>
      <c r="C221" s="47">
        <v>0</v>
      </c>
      <c r="D221" s="47">
        <f>4450000</f>
        <v>4450000</v>
      </c>
      <c r="E221" s="70">
        <v>4450000</v>
      </c>
      <c r="F221" s="70"/>
      <c r="G221" s="47">
        <v>0</v>
      </c>
      <c r="H221" s="47">
        <f t="shared" si="40"/>
        <v>100</v>
      </c>
      <c r="I221" s="47">
        <f t="shared" si="41"/>
        <v>107.93111811787533</v>
      </c>
      <c r="J221" s="34">
        <v>4123000</v>
      </c>
      <c r="K221" s="150"/>
    </row>
    <row r="222" spans="1:14" s="21" customFormat="1" ht="12.75" customHeight="1" x14ac:dyDescent="0.2">
      <c r="A222" s="168"/>
      <c r="B222" s="167" t="s">
        <v>223</v>
      </c>
      <c r="C222" s="47">
        <v>0</v>
      </c>
      <c r="D222" s="47">
        <v>80000</v>
      </c>
      <c r="E222" s="70">
        <v>80000</v>
      </c>
      <c r="F222" s="70"/>
      <c r="G222" s="47">
        <v>0</v>
      </c>
      <c r="H222" s="47">
        <f t="shared" si="40"/>
        <v>100</v>
      </c>
      <c r="I222" s="47">
        <v>0</v>
      </c>
      <c r="J222" s="34">
        <v>0</v>
      </c>
      <c r="K222" s="150"/>
    </row>
    <row r="223" spans="1:14" s="21" customFormat="1" ht="12.75" customHeight="1" x14ac:dyDescent="0.2">
      <c r="A223" s="168"/>
      <c r="B223" s="167" t="s">
        <v>224</v>
      </c>
      <c r="C223" s="47">
        <v>0</v>
      </c>
      <c r="D223" s="47">
        <v>44000</v>
      </c>
      <c r="E223" s="70">
        <v>44000</v>
      </c>
      <c r="F223" s="70"/>
      <c r="G223" s="47">
        <v>0</v>
      </c>
      <c r="H223" s="47">
        <f t="shared" si="40"/>
        <v>100</v>
      </c>
      <c r="I223" s="47">
        <f t="shared" si="41"/>
        <v>44</v>
      </c>
      <c r="J223" s="34">
        <v>100000</v>
      </c>
      <c r="K223" s="150"/>
    </row>
    <row r="224" spans="1:14" s="21" customFormat="1" ht="12.75" customHeight="1" x14ac:dyDescent="0.2">
      <c r="A224" s="168"/>
      <c r="B224" s="111" t="s">
        <v>225</v>
      </c>
      <c r="C224" s="47">
        <v>0</v>
      </c>
      <c r="D224" s="47">
        <v>36936</v>
      </c>
      <c r="E224" s="70">
        <v>36936</v>
      </c>
      <c r="F224" s="70"/>
      <c r="G224" s="101">
        <v>0</v>
      </c>
      <c r="H224" s="47">
        <f t="shared" si="40"/>
        <v>100</v>
      </c>
      <c r="I224" s="101">
        <v>0</v>
      </c>
      <c r="J224" s="34">
        <v>0</v>
      </c>
      <c r="N224" s="150"/>
    </row>
    <row r="225" spans="1:16" ht="12.75" customHeight="1" x14ac:dyDescent="0.2">
      <c r="A225" s="183"/>
      <c r="B225" s="111" t="s">
        <v>226</v>
      </c>
      <c r="C225" s="104">
        <v>0</v>
      </c>
      <c r="D225" s="104">
        <f>2216050+1268300+75200</f>
        <v>3559550</v>
      </c>
      <c r="E225" s="104">
        <v>3559550</v>
      </c>
      <c r="F225" s="104"/>
      <c r="G225" s="47">
        <v>0</v>
      </c>
      <c r="H225" s="47">
        <f t="shared" si="40"/>
        <v>100</v>
      </c>
      <c r="I225" s="47">
        <v>0</v>
      </c>
      <c r="J225" s="34">
        <v>0</v>
      </c>
      <c r="P225" s="150"/>
    </row>
    <row r="226" spans="1:16" ht="12.75" customHeight="1" x14ac:dyDescent="0.2">
      <c r="A226" s="183"/>
      <c r="B226" s="111" t="s">
        <v>227</v>
      </c>
      <c r="C226" s="104">
        <v>0</v>
      </c>
      <c r="D226" s="104">
        <f>(2670.26+15131.44+4369.37+24759.73)+(742.69+4208.59+2157.75+12227.25+755.69+4282.21)+(5135.13+29099.07+4048.85+22943.5+4937.63+27979.87+6863.3+38892.03)</f>
        <v>211204.36</v>
      </c>
      <c r="E226" s="104">
        <v>211204.36</v>
      </c>
      <c r="F226" s="104"/>
      <c r="G226" s="47">
        <v>0</v>
      </c>
      <c r="H226" s="47">
        <f t="shared" si="40"/>
        <v>100</v>
      </c>
      <c r="I226" s="47">
        <v>0</v>
      </c>
      <c r="J226" s="34">
        <v>0</v>
      </c>
      <c r="P226" s="150"/>
    </row>
    <row r="227" spans="1:16" ht="12.75" customHeight="1" x14ac:dyDescent="0.2">
      <c r="A227" s="98"/>
      <c r="B227" s="111" t="s">
        <v>228</v>
      </c>
      <c r="C227" s="47">
        <v>0</v>
      </c>
      <c r="D227" s="47">
        <f>5762000+488000</f>
        <v>6250000</v>
      </c>
      <c r="E227" s="70">
        <v>6250000</v>
      </c>
      <c r="F227" s="70"/>
      <c r="G227" s="47">
        <v>0</v>
      </c>
      <c r="H227" s="47">
        <f t="shared" si="40"/>
        <v>100</v>
      </c>
      <c r="I227" s="47">
        <f t="shared" si="41"/>
        <v>105.61000337952011</v>
      </c>
      <c r="J227" s="34">
        <v>5918000</v>
      </c>
      <c r="K227" s="150"/>
    </row>
    <row r="228" spans="1:16" s="21" customFormat="1" ht="12.75" customHeight="1" x14ac:dyDescent="0.2">
      <c r="A228" s="168"/>
      <c r="B228" s="111" t="s">
        <v>229</v>
      </c>
      <c r="C228" s="47">
        <v>0</v>
      </c>
      <c r="D228" s="47">
        <v>210100</v>
      </c>
      <c r="E228" s="182">
        <v>210100</v>
      </c>
      <c r="F228" s="125"/>
      <c r="G228" s="47">
        <v>0</v>
      </c>
      <c r="H228" s="47">
        <f t="shared" si="40"/>
        <v>100</v>
      </c>
      <c r="I228" s="47">
        <v>0</v>
      </c>
      <c r="J228" s="134">
        <v>0</v>
      </c>
      <c r="K228" s="150"/>
    </row>
    <row r="229" spans="1:16" s="21" customFormat="1" ht="12.75" customHeight="1" x14ac:dyDescent="0.2">
      <c r="A229" s="184">
        <v>4134</v>
      </c>
      <c r="B229" s="98" t="s">
        <v>230</v>
      </c>
      <c r="C229" s="106">
        <v>5900000</v>
      </c>
      <c r="D229" s="106">
        <v>5900000</v>
      </c>
      <c r="E229" s="114">
        <v>6459400</v>
      </c>
      <c r="F229" s="114"/>
      <c r="G229" s="100">
        <f t="shared" si="39"/>
        <v>109.48135593220339</v>
      </c>
      <c r="H229" s="106">
        <f t="shared" si="40"/>
        <v>109.48135593220339</v>
      </c>
      <c r="I229" s="100">
        <f t="shared" si="41"/>
        <v>109.48135593220339</v>
      </c>
      <c r="J229" s="34">
        <v>5900000</v>
      </c>
    </row>
    <row r="230" spans="1:16" s="21" customFormat="1" ht="12.75" customHeight="1" x14ac:dyDescent="0.2">
      <c r="A230" s="135">
        <v>4213</v>
      </c>
      <c r="B230" s="98" t="s">
        <v>231</v>
      </c>
      <c r="C230" s="114">
        <f>SUM(C231:C231)</f>
        <v>1710000</v>
      </c>
      <c r="D230" s="114">
        <f>SUM(D231:D231)</f>
        <v>0</v>
      </c>
      <c r="E230" s="166">
        <v>0</v>
      </c>
      <c r="F230" s="134">
        <f>SUM(E231:E231)</f>
        <v>0</v>
      </c>
      <c r="G230" s="100">
        <f t="shared" si="39"/>
        <v>0</v>
      </c>
      <c r="H230" s="106">
        <v>0</v>
      </c>
      <c r="I230" s="100">
        <f t="shared" si="41"/>
        <v>0</v>
      </c>
      <c r="J230" s="34">
        <v>910147</v>
      </c>
    </row>
    <row r="231" spans="1:16" customFormat="1" ht="12.75" customHeight="1" x14ac:dyDescent="0.2">
      <c r="A231" s="185"/>
      <c r="B231" s="186" t="s">
        <v>232</v>
      </c>
      <c r="C231" s="70">
        <v>1710000</v>
      </c>
      <c r="D231" s="70">
        <f>1710000-1710000</f>
        <v>0</v>
      </c>
      <c r="E231" s="151">
        <v>0</v>
      </c>
      <c r="F231" s="18"/>
      <c r="G231" s="101">
        <f t="shared" si="39"/>
        <v>0</v>
      </c>
      <c r="H231" s="47">
        <v>0</v>
      </c>
      <c r="I231" s="101">
        <v>0</v>
      </c>
      <c r="J231" s="34">
        <v>0</v>
      </c>
    </row>
    <row r="232" spans="1:16" s="21" customFormat="1" ht="12.75" customHeight="1" x14ac:dyDescent="0.2">
      <c r="A232" s="98">
        <v>4216</v>
      </c>
      <c r="B232" s="187" t="s">
        <v>233</v>
      </c>
      <c r="C232" s="188">
        <f>SUM(C233:C244)</f>
        <v>16119535.85</v>
      </c>
      <c r="D232" s="188">
        <f>SUM(D233:D244)</f>
        <v>31149965.459999997</v>
      </c>
      <c r="E232" s="166">
        <v>31149965.460000001</v>
      </c>
      <c r="F232" s="70">
        <f>SUM(E233:E244)</f>
        <v>31149965.459999997</v>
      </c>
      <c r="G232" s="100">
        <f t="shared" ref="G232:G292" si="42">E232/C232*100</f>
        <v>193.24356327542768</v>
      </c>
      <c r="H232" s="106">
        <f t="shared" ref="H232:H295" si="43">E232/D232*100</f>
        <v>100.00000000000003</v>
      </c>
      <c r="I232" s="100">
        <f t="shared" ref="I232:I291" si="44">E232/J232*100</f>
        <v>291.13262192591651</v>
      </c>
      <c r="J232" s="34">
        <v>10699579.199999999</v>
      </c>
      <c r="N232" s="150"/>
    </row>
    <row r="233" spans="1:16" customFormat="1" ht="12.75" customHeight="1" x14ac:dyDescent="0.2">
      <c r="A233" s="185"/>
      <c r="B233" s="186" t="s">
        <v>234</v>
      </c>
      <c r="C233" s="47">
        <v>1388250</v>
      </c>
      <c r="D233" s="47">
        <f>1388250+(-146131.6-1242118.4)</f>
        <v>0</v>
      </c>
      <c r="E233" s="189">
        <v>0</v>
      </c>
      <c r="F233" s="70"/>
      <c r="G233" s="101">
        <f t="shared" si="42"/>
        <v>0</v>
      </c>
      <c r="H233" s="47">
        <v>0</v>
      </c>
      <c r="I233" s="101">
        <v>0</v>
      </c>
      <c r="J233" s="34">
        <v>566437.5</v>
      </c>
    </row>
    <row r="234" spans="1:16" s="21" customFormat="1" ht="12.75" customHeight="1" x14ac:dyDescent="0.2">
      <c r="A234" s="168"/>
      <c r="B234" s="167" t="s">
        <v>235</v>
      </c>
      <c r="C234" s="47">
        <v>5992790.4299999997</v>
      </c>
      <c r="D234" s="47">
        <f>5992790.43+(-56046.22-1120924.37)</f>
        <v>4815819.84</v>
      </c>
      <c r="E234" s="18">
        <v>4815819.84</v>
      </c>
      <c r="F234" s="70"/>
      <c r="G234" s="101">
        <f t="shared" si="42"/>
        <v>80.360224443890658</v>
      </c>
      <c r="H234" s="47">
        <f t="shared" si="43"/>
        <v>100</v>
      </c>
      <c r="I234" s="101">
        <v>0</v>
      </c>
      <c r="J234" s="34">
        <v>0</v>
      </c>
      <c r="N234" s="150"/>
    </row>
    <row r="235" spans="1:16" s="21" customFormat="1" ht="12.75" customHeight="1" x14ac:dyDescent="0.2">
      <c r="A235" s="168"/>
      <c r="B235" s="167" t="s">
        <v>236</v>
      </c>
      <c r="C235" s="47">
        <v>3605622.22</v>
      </c>
      <c r="D235" s="47">
        <f>3605622.22+(-44889.8-897795.96)</f>
        <v>2662936.46</v>
      </c>
      <c r="E235" s="33">
        <v>2662936.46</v>
      </c>
      <c r="F235" s="70"/>
      <c r="G235" s="101">
        <f t="shared" si="42"/>
        <v>73.855115636601539</v>
      </c>
      <c r="H235" s="47">
        <f t="shared" si="43"/>
        <v>100</v>
      </c>
      <c r="I235" s="101">
        <v>0</v>
      </c>
      <c r="J235" s="157">
        <v>0</v>
      </c>
      <c r="N235" s="150"/>
    </row>
    <row r="236" spans="1:16" s="21" customFormat="1" ht="12.75" customHeight="1" x14ac:dyDescent="0.2">
      <c r="A236" s="168"/>
      <c r="B236" s="111" t="s">
        <v>237</v>
      </c>
      <c r="C236" s="47">
        <v>0</v>
      </c>
      <c r="D236" s="47">
        <f>(116777.32+1985214.55)</f>
        <v>2101991.87</v>
      </c>
      <c r="E236" s="70">
        <v>2101991.87</v>
      </c>
      <c r="F236" s="70"/>
      <c r="G236" s="101">
        <v>0</v>
      </c>
      <c r="H236" s="47">
        <f t="shared" si="43"/>
        <v>100</v>
      </c>
      <c r="I236" s="101">
        <v>0</v>
      </c>
      <c r="J236" s="34">
        <v>0</v>
      </c>
      <c r="K236" s="150"/>
    </row>
    <row r="237" spans="1:16" s="21" customFormat="1" ht="12.75" customHeight="1" x14ac:dyDescent="0.2">
      <c r="A237" s="168"/>
      <c r="B237" s="111" t="s">
        <v>238</v>
      </c>
      <c r="C237" s="47">
        <v>0</v>
      </c>
      <c r="D237" s="47">
        <v>739250.27</v>
      </c>
      <c r="E237" s="70">
        <v>739250.27</v>
      </c>
      <c r="F237" s="70"/>
      <c r="G237" s="47">
        <v>0</v>
      </c>
      <c r="H237" s="47">
        <f t="shared" si="43"/>
        <v>100</v>
      </c>
      <c r="I237" s="47">
        <v>0</v>
      </c>
      <c r="J237" s="34">
        <v>0</v>
      </c>
      <c r="K237" s="150"/>
    </row>
    <row r="238" spans="1:16" s="21" customFormat="1" ht="12.75" customHeight="1" x14ac:dyDescent="0.2">
      <c r="A238" s="168"/>
      <c r="B238" s="111" t="s">
        <v>239</v>
      </c>
      <c r="C238" s="47">
        <v>0</v>
      </c>
      <c r="D238" s="47">
        <v>12567254.619999999</v>
      </c>
      <c r="E238" s="70">
        <v>12567254.619999999</v>
      </c>
      <c r="F238" s="70"/>
      <c r="G238" s="47">
        <v>0</v>
      </c>
      <c r="H238" s="47">
        <f t="shared" si="43"/>
        <v>100</v>
      </c>
      <c r="I238" s="47">
        <v>0</v>
      </c>
      <c r="J238" s="34">
        <v>0</v>
      </c>
      <c r="K238" s="150"/>
    </row>
    <row r="239" spans="1:16" s="21" customFormat="1" ht="12.75" customHeight="1" x14ac:dyDescent="0.2">
      <c r="A239" s="168"/>
      <c r="B239" s="111" t="s">
        <v>240</v>
      </c>
      <c r="C239" s="47">
        <v>1840000</v>
      </c>
      <c r="D239" s="47">
        <f>1840000-4.6</f>
        <v>1839995.4</v>
      </c>
      <c r="E239" s="18">
        <v>1839995.4</v>
      </c>
      <c r="F239" s="18"/>
      <c r="G239" s="101">
        <f t="shared" si="42"/>
        <v>99.999749999999992</v>
      </c>
      <c r="H239" s="47">
        <f t="shared" si="43"/>
        <v>100</v>
      </c>
      <c r="I239" s="101">
        <v>0</v>
      </c>
      <c r="J239" s="34">
        <v>0</v>
      </c>
      <c r="N239" s="150"/>
    </row>
    <row r="240" spans="1:16" s="21" customFormat="1" ht="12.75" customHeight="1" x14ac:dyDescent="0.2">
      <c r="A240" s="168"/>
      <c r="B240" s="111" t="s">
        <v>241</v>
      </c>
      <c r="C240" s="47">
        <v>1292873.2</v>
      </c>
      <c r="D240" s="47">
        <f>1292873.2-1292873.2</f>
        <v>0</v>
      </c>
      <c r="E240" s="47">
        <v>0</v>
      </c>
      <c r="F240" s="47"/>
      <c r="G240" s="101">
        <f t="shared" si="42"/>
        <v>0</v>
      </c>
      <c r="H240" s="47">
        <v>0</v>
      </c>
      <c r="I240" s="101">
        <v>0</v>
      </c>
      <c r="J240" s="34">
        <v>0</v>
      </c>
      <c r="N240" s="150"/>
    </row>
    <row r="241" spans="1:14" s="21" customFormat="1" ht="12.75" customHeight="1" x14ac:dyDescent="0.2">
      <c r="A241" s="168"/>
      <c r="B241" s="111" t="s">
        <v>242</v>
      </c>
      <c r="C241" s="47">
        <v>0</v>
      </c>
      <c r="D241" s="47">
        <f>1292873.2</f>
        <v>1292873.2</v>
      </c>
      <c r="E241" s="47">
        <v>1292873.2</v>
      </c>
      <c r="F241" s="47"/>
      <c r="G241" s="101">
        <v>0</v>
      </c>
      <c r="H241" s="47">
        <f t="shared" si="43"/>
        <v>100</v>
      </c>
      <c r="I241" s="101">
        <v>0</v>
      </c>
      <c r="J241" s="34">
        <v>0</v>
      </c>
      <c r="N241" s="150"/>
    </row>
    <row r="242" spans="1:14" s="21" customFormat="1" ht="12.75" customHeight="1" x14ac:dyDescent="0.2">
      <c r="A242" s="168"/>
      <c r="B242" s="169" t="s">
        <v>243</v>
      </c>
      <c r="C242" s="47">
        <v>0</v>
      </c>
      <c r="D242" s="47">
        <f>2869843.8</f>
        <v>2869843.8</v>
      </c>
      <c r="E242" s="18">
        <v>2869843.8</v>
      </c>
      <c r="F242" s="18"/>
      <c r="G242" s="101">
        <v>0</v>
      </c>
      <c r="H242" s="47">
        <f t="shared" si="43"/>
        <v>100</v>
      </c>
      <c r="I242" s="101">
        <v>0</v>
      </c>
      <c r="J242" s="34">
        <v>0</v>
      </c>
      <c r="N242" s="150"/>
    </row>
    <row r="243" spans="1:14" s="21" customFormat="1" ht="12.75" customHeight="1" x14ac:dyDescent="0.2">
      <c r="A243" s="136"/>
      <c r="B243" s="167" t="s">
        <v>244</v>
      </c>
      <c r="C243" s="145">
        <v>2000000</v>
      </c>
      <c r="D243" s="145">
        <v>2000000</v>
      </c>
      <c r="E243" s="70">
        <v>2000000</v>
      </c>
      <c r="F243" s="70"/>
      <c r="G243" s="101">
        <f t="shared" si="42"/>
        <v>100</v>
      </c>
      <c r="H243" s="47">
        <f t="shared" si="43"/>
        <v>100</v>
      </c>
      <c r="I243" s="101">
        <v>0</v>
      </c>
      <c r="J243" s="34">
        <v>0</v>
      </c>
    </row>
    <row r="244" spans="1:14" s="21" customFormat="1" ht="12.75" customHeight="1" x14ac:dyDescent="0.2">
      <c r="A244" s="168"/>
      <c r="B244" s="111" t="s">
        <v>245</v>
      </c>
      <c r="C244" s="47">
        <v>0</v>
      </c>
      <c r="D244" s="47">
        <v>260000</v>
      </c>
      <c r="E244" s="182">
        <v>260000</v>
      </c>
      <c r="F244" s="125"/>
      <c r="G244" s="47">
        <v>0</v>
      </c>
      <c r="H244" s="47">
        <f t="shared" si="43"/>
        <v>100</v>
      </c>
      <c r="I244" s="47">
        <v>0</v>
      </c>
      <c r="J244" s="34">
        <v>0</v>
      </c>
      <c r="K244" s="150"/>
    </row>
    <row r="245" spans="1:14" s="21" customFormat="1" ht="12.75" customHeight="1" x14ac:dyDescent="0.2">
      <c r="A245" s="135">
        <v>4222</v>
      </c>
      <c r="B245" s="187" t="s">
        <v>246</v>
      </c>
      <c r="C245" s="188">
        <f>SUM(C246:C251)</f>
        <v>7046740</v>
      </c>
      <c r="D245" s="188">
        <f>SUM(D246:D251)</f>
        <v>8543597.1099999994</v>
      </c>
      <c r="E245" s="114">
        <v>8543597.1099999994</v>
      </c>
      <c r="F245" s="70">
        <f>SUM(E246:E251)</f>
        <v>8543597.1099999994</v>
      </c>
      <c r="G245" s="101">
        <f t="shared" si="42"/>
        <v>121.24183821171208</v>
      </c>
      <c r="H245" s="47">
        <f t="shared" si="43"/>
        <v>100</v>
      </c>
      <c r="I245" s="101">
        <f t="shared" si="44"/>
        <v>213.10222997780639</v>
      </c>
      <c r="J245" s="34">
        <v>4009154.25</v>
      </c>
    </row>
    <row r="246" spans="1:14" s="21" customFormat="1" ht="12.75" customHeight="1" x14ac:dyDescent="0.2">
      <c r="A246" s="168"/>
      <c r="B246" s="167" t="s">
        <v>247</v>
      </c>
      <c r="C246" s="47">
        <v>5500000</v>
      </c>
      <c r="D246" s="47">
        <f>5500000-20843</f>
        <v>5479157</v>
      </c>
      <c r="E246" s="70">
        <v>5479157</v>
      </c>
      <c r="F246" s="70"/>
      <c r="G246" s="101">
        <f t="shared" si="42"/>
        <v>99.621036363636364</v>
      </c>
      <c r="H246" s="47">
        <f t="shared" si="43"/>
        <v>100</v>
      </c>
      <c r="I246" s="101">
        <v>0</v>
      </c>
      <c r="J246" s="34">
        <v>0</v>
      </c>
      <c r="N246" s="150"/>
    </row>
    <row r="247" spans="1:14" s="21" customFormat="1" ht="12.75" customHeight="1" x14ac:dyDescent="0.2">
      <c r="A247" s="168"/>
      <c r="B247" s="167" t="s">
        <v>248</v>
      </c>
      <c r="C247" s="47">
        <v>0</v>
      </c>
      <c r="D247" s="47">
        <f>399900-79980</f>
        <v>319920</v>
      </c>
      <c r="E247" s="70">
        <v>319920</v>
      </c>
      <c r="F247" s="70"/>
      <c r="G247" s="101">
        <v>0</v>
      </c>
      <c r="H247" s="47">
        <f t="shared" si="43"/>
        <v>100</v>
      </c>
      <c r="I247" s="101">
        <v>0</v>
      </c>
      <c r="J247" s="34">
        <v>0</v>
      </c>
      <c r="K247" s="150"/>
    </row>
    <row r="248" spans="1:14" s="21" customFormat="1" ht="12.75" customHeight="1" x14ac:dyDescent="0.2">
      <c r="A248" s="168"/>
      <c r="B248" s="167" t="s">
        <v>249</v>
      </c>
      <c r="C248" s="47">
        <v>0</v>
      </c>
      <c r="D248" s="47">
        <v>156000</v>
      </c>
      <c r="E248" s="70">
        <v>156000</v>
      </c>
      <c r="F248" s="70"/>
      <c r="G248" s="101">
        <v>0</v>
      </c>
      <c r="H248" s="47">
        <f t="shared" si="43"/>
        <v>100</v>
      </c>
      <c r="I248" s="101">
        <v>0</v>
      </c>
      <c r="J248" s="34">
        <v>0</v>
      </c>
      <c r="K248" s="150"/>
    </row>
    <row r="249" spans="1:14" s="21" customFormat="1" ht="12.75" customHeight="1" x14ac:dyDescent="0.2">
      <c r="A249" s="168"/>
      <c r="B249" s="111" t="s">
        <v>225</v>
      </c>
      <c r="C249" s="47">
        <v>46740</v>
      </c>
      <c r="D249" s="47">
        <f>(46740-3.89)+848400+(-848400+811464)</f>
        <v>858200.11</v>
      </c>
      <c r="E249" s="70">
        <v>858200.11</v>
      </c>
      <c r="F249" s="70"/>
      <c r="G249" s="101">
        <f t="shared" si="42"/>
        <v>1836.1149122807017</v>
      </c>
      <c r="H249" s="47">
        <f t="shared" si="43"/>
        <v>100</v>
      </c>
      <c r="I249" s="104">
        <f t="shared" si="44"/>
        <v>459.02872807017542</v>
      </c>
      <c r="J249" s="34">
        <v>186960</v>
      </c>
      <c r="N249" s="150"/>
    </row>
    <row r="250" spans="1:14" s="21" customFormat="1" ht="12.75" customHeight="1" x14ac:dyDescent="0.2">
      <c r="A250" s="168"/>
      <c r="B250" s="111" t="s">
        <v>250</v>
      </c>
      <c r="C250" s="47">
        <v>1500000</v>
      </c>
      <c r="D250" s="47">
        <v>1500000</v>
      </c>
      <c r="E250" s="70">
        <v>1500000</v>
      </c>
      <c r="F250" s="70"/>
      <c r="G250" s="101">
        <f t="shared" si="42"/>
        <v>100</v>
      </c>
      <c r="H250" s="47">
        <f t="shared" si="43"/>
        <v>100</v>
      </c>
      <c r="I250" s="104">
        <f t="shared" si="44"/>
        <v>2295.6900867357626</v>
      </c>
      <c r="J250" s="34">
        <v>65339.83</v>
      </c>
      <c r="N250" s="150"/>
    </row>
    <row r="251" spans="1:14" s="21" customFormat="1" ht="12.75" customHeight="1" x14ac:dyDescent="0.2">
      <c r="A251" s="168"/>
      <c r="B251" s="111" t="s">
        <v>251</v>
      </c>
      <c r="C251" s="47">
        <v>0</v>
      </c>
      <c r="D251" s="47">
        <v>230320</v>
      </c>
      <c r="E251" s="70">
        <v>230320</v>
      </c>
      <c r="F251" s="70"/>
      <c r="G251" s="101">
        <v>0</v>
      </c>
      <c r="H251" s="47">
        <f t="shared" si="43"/>
        <v>100</v>
      </c>
      <c r="I251" s="101">
        <v>0</v>
      </c>
      <c r="J251" s="34">
        <v>0</v>
      </c>
      <c r="N251" s="150"/>
    </row>
    <row r="252" spans="1:14" s="21" customFormat="1" ht="12.75" customHeight="1" thickBot="1" x14ac:dyDescent="0.25">
      <c r="A252" s="190"/>
      <c r="B252" s="191"/>
      <c r="C252" s="192"/>
      <c r="D252" s="192"/>
      <c r="E252" s="124"/>
      <c r="F252" s="125"/>
      <c r="G252" s="126"/>
      <c r="H252" s="126"/>
      <c r="I252" s="126"/>
      <c r="J252" s="34"/>
    </row>
    <row r="253" spans="1:14" s="21" customFormat="1" ht="21" thickBot="1" x14ac:dyDescent="0.35">
      <c r="A253" s="193"/>
      <c r="B253" s="82" t="s">
        <v>15</v>
      </c>
      <c r="C253" s="194">
        <f>SUM(C32+C65+C168+C185)</f>
        <v>779145064.49349999</v>
      </c>
      <c r="D253" s="194">
        <f>SUM(D32+D65+D168+D185)</f>
        <v>823577610.1135</v>
      </c>
      <c r="E253" s="195">
        <v>815154228.23000002</v>
      </c>
      <c r="F253" s="196">
        <f>SUM(E32,E65,E168,E185)</f>
        <v>815154228.23000002</v>
      </c>
      <c r="G253" s="197">
        <f t="shared" si="42"/>
        <v>104.62162508337374</v>
      </c>
      <c r="H253" s="197">
        <f t="shared" si="43"/>
        <v>98.977220631053925</v>
      </c>
      <c r="I253" s="197">
        <f t="shared" si="44"/>
        <v>110.83330309396192</v>
      </c>
      <c r="J253" s="34">
        <v>735477699.82000005</v>
      </c>
    </row>
    <row r="254" spans="1:14" s="21" customFormat="1" ht="12.75" customHeight="1" thickBot="1" x14ac:dyDescent="0.3">
      <c r="A254" s="198"/>
      <c r="B254" s="199"/>
      <c r="C254" s="196"/>
      <c r="D254" s="196"/>
      <c r="E254" s="160"/>
      <c r="F254" s="160"/>
      <c r="G254" s="160"/>
      <c r="H254" s="160"/>
      <c r="I254" s="160"/>
      <c r="J254" s="34"/>
    </row>
    <row r="255" spans="1:14" s="21" customFormat="1" ht="16.5" thickBot="1" x14ac:dyDescent="0.3">
      <c r="A255" s="200"/>
      <c r="B255" s="86" t="s">
        <v>16</v>
      </c>
      <c r="C255" s="201">
        <f>SUM(C256:C260,C264)</f>
        <v>176903799.76000002</v>
      </c>
      <c r="D255" s="201">
        <f>SUM(D256:D260,D264)</f>
        <v>204060887.07000002</v>
      </c>
      <c r="E255" s="128">
        <v>176430455.55000001</v>
      </c>
      <c r="F255" s="196">
        <f>SUM(E256:E260,E264)</f>
        <v>176430455.55000001</v>
      </c>
      <c r="G255" s="89">
        <f t="shared" si="42"/>
        <v>99.732428466408194</v>
      </c>
      <c r="H255" s="89">
        <f t="shared" si="43"/>
        <v>86.459712139484225</v>
      </c>
      <c r="I255" s="89">
        <f t="shared" si="44"/>
        <v>-409.54760537282687</v>
      </c>
      <c r="J255" s="19">
        <v>-43079352.25</v>
      </c>
    </row>
    <row r="256" spans="1:14" ht="27.75" customHeight="1" x14ac:dyDescent="0.2">
      <c r="A256" s="130">
        <v>8115</v>
      </c>
      <c r="B256" s="202" t="s">
        <v>252</v>
      </c>
      <c r="C256" s="106">
        <f>49818247.32+560000+18279078.61-25236+4455516.29+378000-69000+209800</f>
        <v>73606406.220000014</v>
      </c>
      <c r="D256" s="106">
        <f>49818247.32+560000+18279078.61-25236+4455516.29+378000-69000+209800+14153127.85-7250000+50000000+693000</f>
        <v>131202534.07000001</v>
      </c>
      <c r="E256" s="114">
        <v>112542540.29000001</v>
      </c>
      <c r="F256" s="70"/>
      <c r="G256" s="103">
        <f t="shared" si="42"/>
        <v>152.89775179843033</v>
      </c>
      <c r="H256" s="106">
        <f t="shared" si="43"/>
        <v>85.777718462324515</v>
      </c>
      <c r="I256" s="103">
        <f t="shared" si="44"/>
        <v>-150.33665589934262</v>
      </c>
      <c r="J256" s="19">
        <v>-74860345.680000007</v>
      </c>
    </row>
    <row r="257" spans="1:10" ht="24.75" x14ac:dyDescent="0.2">
      <c r="A257" s="130">
        <v>8123</v>
      </c>
      <c r="B257" s="203" t="s">
        <v>253</v>
      </c>
      <c r="C257" s="106">
        <f>100000000-46400000</f>
        <v>53600000</v>
      </c>
      <c r="D257" s="106">
        <f>100000000-46400000+2000000+18116515.46</f>
        <v>73716515.460000008</v>
      </c>
      <c r="E257" s="114">
        <v>63797077.710000001</v>
      </c>
      <c r="F257" s="70"/>
      <c r="G257" s="103">
        <f t="shared" si="42"/>
        <v>119.02439871268658</v>
      </c>
      <c r="H257" s="106">
        <f t="shared" si="43"/>
        <v>86.543805430707749</v>
      </c>
      <c r="I257" s="103">
        <f t="shared" si="44"/>
        <v>225.56300522226957</v>
      </c>
      <c r="J257" s="19">
        <v>28283484.539999999</v>
      </c>
    </row>
    <row r="258" spans="1:10" ht="12.75" customHeight="1" x14ac:dyDescent="0.2">
      <c r="A258" s="130">
        <v>8124</v>
      </c>
      <c r="B258" s="203" t="s">
        <v>254</v>
      </c>
      <c r="C258" s="106">
        <v>0</v>
      </c>
      <c r="D258" s="106">
        <v>-555556</v>
      </c>
      <c r="E258" s="106">
        <v>0</v>
      </c>
      <c r="F258" s="47"/>
      <c r="G258" s="100">
        <v>0</v>
      </c>
      <c r="H258" s="106">
        <f t="shared" si="43"/>
        <v>0</v>
      </c>
      <c r="I258" s="100">
        <v>0</v>
      </c>
      <c r="J258" s="34">
        <v>0</v>
      </c>
    </row>
    <row r="259" spans="1:10" ht="12.75" customHeight="1" x14ac:dyDescent="0.2">
      <c r="A259" s="130">
        <v>8125</v>
      </c>
      <c r="B259" s="203" t="s">
        <v>255</v>
      </c>
      <c r="C259" s="106">
        <v>50000000</v>
      </c>
      <c r="D259" s="106">
        <v>50000000</v>
      </c>
      <c r="E259" s="106">
        <v>0</v>
      </c>
      <c r="F259" s="47"/>
      <c r="G259" s="100">
        <f t="shared" si="42"/>
        <v>0</v>
      </c>
      <c r="H259" s="106">
        <f t="shared" si="43"/>
        <v>0</v>
      </c>
      <c r="I259" s="100">
        <v>0</v>
      </c>
      <c r="J259" s="34">
        <v>0</v>
      </c>
    </row>
    <row r="260" spans="1:10" s="204" customFormat="1" ht="12.75" customHeight="1" x14ac:dyDescent="0.4">
      <c r="A260" s="135">
        <v>8901</v>
      </c>
      <c r="B260" s="187" t="s">
        <v>256</v>
      </c>
      <c r="C260" s="114">
        <f>SUM(C261:C261)</f>
        <v>-302606.46000000002</v>
      </c>
      <c r="D260" s="114">
        <f>SUM(D261:D261)</f>
        <v>-302606.46000000002</v>
      </c>
      <c r="E260" s="106">
        <v>90837.55</v>
      </c>
      <c r="F260" s="47">
        <f>SUM(E261:E263)</f>
        <v>90837.549999999988</v>
      </c>
      <c r="G260" s="103">
        <f t="shared" si="42"/>
        <v>-30.018377664508549</v>
      </c>
      <c r="H260" s="106">
        <f t="shared" si="43"/>
        <v>-30.018377664508549</v>
      </c>
      <c r="I260" s="103">
        <f t="shared" si="44"/>
        <v>2.5972071224670996</v>
      </c>
      <c r="J260" s="19">
        <v>3497508.89</v>
      </c>
    </row>
    <row r="261" spans="1:10" s="206" customFormat="1" ht="12.75" customHeight="1" x14ac:dyDescent="0.35">
      <c r="A261" s="185"/>
      <c r="B261" s="205" t="s">
        <v>257</v>
      </c>
      <c r="C261" s="70">
        <v>-302606.46000000002</v>
      </c>
      <c r="D261" s="70">
        <v>-302606.46000000002</v>
      </c>
      <c r="E261" s="47">
        <v>-345048.69</v>
      </c>
      <c r="F261" s="47"/>
      <c r="G261" s="104">
        <f t="shared" si="42"/>
        <v>114.0255531887852</v>
      </c>
      <c r="H261" s="47">
        <f t="shared" si="43"/>
        <v>114.0255531887852</v>
      </c>
      <c r="I261" s="104">
        <f t="shared" si="44"/>
        <v>57.012776594392598</v>
      </c>
      <c r="J261" s="19">
        <v>-605212.92000000004</v>
      </c>
    </row>
    <row r="262" spans="1:10" ht="12.75" customHeight="1" x14ac:dyDescent="0.2">
      <c r="A262" s="147"/>
      <c r="B262" s="147" t="s">
        <v>258</v>
      </c>
      <c r="C262" s="47">
        <v>0</v>
      </c>
      <c r="D262" s="47">
        <v>0</v>
      </c>
      <c r="E262" s="70">
        <v>281650.24</v>
      </c>
      <c r="F262" s="70">
        <f>E260-E261-E263</f>
        <v>281650.24</v>
      </c>
      <c r="G262" s="47">
        <v>0</v>
      </c>
      <c r="H262" s="70">
        <v>0</v>
      </c>
      <c r="I262" s="104">
        <f t="shared" si="44"/>
        <v>41.171048332986182</v>
      </c>
      <c r="J262" s="19">
        <v>684097.81</v>
      </c>
    </row>
    <row r="263" spans="1:10" ht="12.75" customHeight="1" x14ac:dyDescent="0.2">
      <c r="A263" s="147"/>
      <c r="B263" s="147" t="s">
        <v>259</v>
      </c>
      <c r="C263" s="47">
        <v>0</v>
      </c>
      <c r="D263" s="47">
        <v>0</v>
      </c>
      <c r="E263" s="70">
        <v>154236</v>
      </c>
      <c r="F263" s="70"/>
      <c r="G263" s="47">
        <v>0</v>
      </c>
      <c r="H263" s="70">
        <v>0</v>
      </c>
      <c r="I263" s="104">
        <f t="shared" si="44"/>
        <v>4.8239844317377862</v>
      </c>
      <c r="J263" s="19">
        <v>3197274</v>
      </c>
    </row>
    <row r="264" spans="1:10" s="204" customFormat="1" ht="12.75" customHeight="1" x14ac:dyDescent="0.4">
      <c r="A264" s="130">
        <v>8905</v>
      </c>
      <c r="B264" s="207" t="s">
        <v>260</v>
      </c>
      <c r="C264" s="114">
        <v>0</v>
      </c>
      <c r="D264" s="114">
        <v>-50000000</v>
      </c>
      <c r="E264" s="106">
        <v>0</v>
      </c>
      <c r="F264" s="106"/>
      <c r="G264" s="208">
        <v>0</v>
      </c>
      <c r="H264" s="106">
        <v>0</v>
      </c>
      <c r="I264" s="208">
        <v>0</v>
      </c>
      <c r="J264" s="209">
        <v>0</v>
      </c>
    </row>
    <row r="265" spans="1:10" ht="12.75" customHeight="1" thickBot="1" x14ac:dyDescent="0.25">
      <c r="A265" s="210"/>
      <c r="B265" s="211"/>
      <c r="C265" s="170"/>
      <c r="D265" s="170"/>
      <c r="E265" s="126"/>
      <c r="F265" s="160"/>
      <c r="G265" s="126"/>
      <c r="H265" s="126"/>
      <c r="I265" s="126"/>
      <c r="J265" s="19"/>
    </row>
    <row r="266" spans="1:10" s="215" customFormat="1" ht="24" customHeight="1" thickBot="1" x14ac:dyDescent="0.45">
      <c r="A266" s="212"/>
      <c r="B266" s="40" t="s">
        <v>17</v>
      </c>
      <c r="C266" s="41">
        <f>SUM(C253+C255)</f>
        <v>956048864.25349998</v>
      </c>
      <c r="D266" s="41">
        <f>SUM(D253+D255)</f>
        <v>1027638497.1835001</v>
      </c>
      <c r="E266" s="213">
        <v>991584683.77999997</v>
      </c>
      <c r="F266" s="129">
        <f>SUM(E253,E255)</f>
        <v>991584683.77999997</v>
      </c>
      <c r="G266" s="197">
        <f t="shared" si="42"/>
        <v>103.71694594859929</v>
      </c>
      <c r="H266" s="214">
        <f t="shared" si="43"/>
        <v>96.491585951449409</v>
      </c>
      <c r="I266" s="214">
        <f t="shared" si="44"/>
        <v>143.21014590228393</v>
      </c>
      <c r="J266" s="19">
        <v>692398347.57000005</v>
      </c>
    </row>
    <row r="267" spans="1:10" s="21" customFormat="1" ht="21" thickBot="1" x14ac:dyDescent="0.35">
      <c r="A267" s="216"/>
      <c r="B267" s="82" t="s">
        <v>18</v>
      </c>
      <c r="C267" s="196"/>
      <c r="D267" s="196"/>
      <c r="E267" s="217"/>
      <c r="F267" s="196"/>
      <c r="G267" s="217"/>
      <c r="H267" s="217"/>
      <c r="I267" s="217"/>
      <c r="J267" s="19"/>
    </row>
    <row r="268" spans="1:10" ht="21" thickBot="1" x14ac:dyDescent="0.35">
      <c r="A268" s="218"/>
      <c r="B268" s="82" t="s">
        <v>23</v>
      </c>
      <c r="C268" s="219">
        <f>C269+C282+C306+C316</f>
        <v>65272069.590000004</v>
      </c>
      <c r="D268" s="219">
        <f>D269+D282+D306+D316</f>
        <v>58736250.789999992</v>
      </c>
      <c r="E268" s="220">
        <v>45846175.039999999</v>
      </c>
      <c r="F268" s="196">
        <f>SUM(E269,E282,E306,E316)</f>
        <v>45846175.039999999</v>
      </c>
      <c r="G268" s="221">
        <f t="shared" si="42"/>
        <v>70.238580342217077</v>
      </c>
      <c r="H268" s="221">
        <f t="shared" si="43"/>
        <v>78.054309601602014</v>
      </c>
      <c r="I268" s="221">
        <f t="shared" si="44"/>
        <v>102.04430807882532</v>
      </c>
      <c r="J268" s="19">
        <v>44927714.149999999</v>
      </c>
    </row>
    <row r="269" spans="1:10" ht="16.5" thickBot="1" x14ac:dyDescent="0.3">
      <c r="A269" s="222"/>
      <c r="B269" s="223" t="s">
        <v>261</v>
      </c>
      <c r="C269" s="128">
        <f>SUM(C270+C274+C279)</f>
        <v>2215000</v>
      </c>
      <c r="D269" s="128">
        <f>SUM(D270+D274+D279)</f>
        <v>3247263.32</v>
      </c>
      <c r="E269" s="128">
        <v>2099534.3199999998</v>
      </c>
      <c r="F269" s="196">
        <f>SUM(E270,E274,E279)</f>
        <v>2099534.3199999998</v>
      </c>
      <c r="G269" s="89">
        <f t="shared" si="42"/>
        <v>94.787102483069972</v>
      </c>
      <c r="H269" s="89">
        <f t="shared" si="43"/>
        <v>64.655499511508665</v>
      </c>
      <c r="I269" s="89">
        <f t="shared" si="44"/>
        <v>196.13405956274016</v>
      </c>
      <c r="J269" s="34">
        <v>1070458.81</v>
      </c>
    </row>
    <row r="270" spans="1:10" x14ac:dyDescent="0.2">
      <c r="A270" s="224">
        <v>2310</v>
      </c>
      <c r="B270" s="225" t="s">
        <v>262</v>
      </c>
      <c r="C270" s="131">
        <f>SUM(C271:C273)</f>
        <v>315000</v>
      </c>
      <c r="D270" s="131">
        <f>SUM(D271:D273)</f>
        <v>315000</v>
      </c>
      <c r="E270" s="106">
        <v>227886.4</v>
      </c>
      <c r="F270" s="47">
        <f>SUM(E271:E273)</f>
        <v>227886.4</v>
      </c>
      <c r="G270" s="100">
        <f t="shared" si="42"/>
        <v>72.344888888888889</v>
      </c>
      <c r="H270" s="106">
        <f t="shared" si="43"/>
        <v>72.344888888888889</v>
      </c>
      <c r="I270" s="100">
        <v>0</v>
      </c>
      <c r="J270" s="34">
        <v>0</v>
      </c>
    </row>
    <row r="271" spans="1:10" x14ac:dyDescent="0.2">
      <c r="A271" s="226" t="s">
        <v>263</v>
      </c>
      <c r="B271" s="111" t="s">
        <v>264</v>
      </c>
      <c r="C271" s="47">
        <v>15000</v>
      </c>
      <c r="D271" s="47">
        <v>15000</v>
      </c>
      <c r="E271" s="70">
        <v>0</v>
      </c>
      <c r="F271" s="70"/>
      <c r="G271" s="101">
        <f t="shared" si="42"/>
        <v>0</v>
      </c>
      <c r="H271" s="47">
        <f t="shared" si="43"/>
        <v>0</v>
      </c>
      <c r="I271" s="101">
        <v>0</v>
      </c>
      <c r="J271" s="34">
        <v>0</v>
      </c>
    </row>
    <row r="272" spans="1:10" x14ac:dyDescent="0.2">
      <c r="A272" s="226" t="s">
        <v>265</v>
      </c>
      <c r="B272" s="111" t="s">
        <v>266</v>
      </c>
      <c r="C272" s="47">
        <v>150000</v>
      </c>
      <c r="D272" s="47">
        <f>150000+50000+27886.4</f>
        <v>227886.4</v>
      </c>
      <c r="E272" s="70">
        <v>227886.4</v>
      </c>
      <c r="F272" s="70"/>
      <c r="G272" s="101">
        <f t="shared" si="42"/>
        <v>151.92426666666665</v>
      </c>
      <c r="H272" s="47">
        <f t="shared" si="43"/>
        <v>100</v>
      </c>
      <c r="I272" s="101">
        <v>0</v>
      </c>
      <c r="J272" s="34">
        <v>0</v>
      </c>
    </row>
    <row r="273" spans="1:10" x14ac:dyDescent="0.2">
      <c r="A273" s="226" t="s">
        <v>267</v>
      </c>
      <c r="B273" s="111" t="s">
        <v>268</v>
      </c>
      <c r="C273" s="47">
        <v>150000</v>
      </c>
      <c r="D273" s="47">
        <f>150000-50000-27886.4</f>
        <v>72113.600000000006</v>
      </c>
      <c r="E273" s="70">
        <v>0</v>
      </c>
      <c r="F273" s="70"/>
      <c r="G273" s="101">
        <f t="shared" si="42"/>
        <v>0</v>
      </c>
      <c r="H273" s="47">
        <f t="shared" si="43"/>
        <v>0</v>
      </c>
      <c r="I273" s="101">
        <v>0</v>
      </c>
      <c r="J273" s="34">
        <v>0</v>
      </c>
    </row>
    <row r="274" spans="1:10" x14ac:dyDescent="0.2">
      <c r="A274" s="144">
        <v>2321</v>
      </c>
      <c r="B274" s="98" t="s">
        <v>269</v>
      </c>
      <c r="C274" s="114">
        <f>SUM(C275:C278)</f>
        <v>1700000</v>
      </c>
      <c r="D274" s="114">
        <f>SUM(D275:D278)</f>
        <v>2732263.32</v>
      </c>
      <c r="E274" s="114">
        <v>1871647.92</v>
      </c>
      <c r="F274" s="70">
        <f>SUM(E275:E278)</f>
        <v>1871647.12</v>
      </c>
      <c r="G274" s="100">
        <f t="shared" si="42"/>
        <v>110.09693647058822</v>
      </c>
      <c r="H274" s="106">
        <f t="shared" si="43"/>
        <v>68.501740161705939</v>
      </c>
      <c r="I274" s="100">
        <f t="shared" si="44"/>
        <v>185.27157954271638</v>
      </c>
      <c r="J274" s="34">
        <v>1010218.58</v>
      </c>
    </row>
    <row r="275" spans="1:10" x14ac:dyDescent="0.2">
      <c r="A275" s="226" t="s">
        <v>270</v>
      </c>
      <c r="B275" s="111" t="s">
        <v>271</v>
      </c>
      <c r="C275" s="47">
        <v>200000</v>
      </c>
      <c r="D275" s="47">
        <v>200000</v>
      </c>
      <c r="E275" s="70">
        <v>192218</v>
      </c>
      <c r="F275" s="70"/>
      <c r="G275" s="101">
        <f t="shared" si="42"/>
        <v>96.108999999999995</v>
      </c>
      <c r="H275" s="47">
        <f t="shared" si="43"/>
        <v>96.108999999999995</v>
      </c>
      <c r="I275" s="101">
        <f t="shared" si="44"/>
        <v>103.95610585958997</v>
      </c>
      <c r="J275" s="34">
        <v>184903.04000000001</v>
      </c>
    </row>
    <row r="276" spans="1:10" x14ac:dyDescent="0.2">
      <c r="A276" s="226" t="s">
        <v>272</v>
      </c>
      <c r="B276" s="227" t="s">
        <v>273</v>
      </c>
      <c r="C276" s="47">
        <v>500000</v>
      </c>
      <c r="D276" s="47">
        <v>500000</v>
      </c>
      <c r="E276" s="70">
        <v>234235.15</v>
      </c>
      <c r="F276" s="70"/>
      <c r="G276" s="101">
        <f t="shared" si="42"/>
        <v>46.847030000000004</v>
      </c>
      <c r="H276" s="47">
        <f t="shared" si="43"/>
        <v>46.847030000000004</v>
      </c>
      <c r="I276" s="101">
        <f t="shared" si="44"/>
        <v>59.210305132004763</v>
      </c>
      <c r="J276" s="34">
        <v>395598.62</v>
      </c>
    </row>
    <row r="277" spans="1:10" x14ac:dyDescent="0.2">
      <c r="A277" s="226" t="s">
        <v>274</v>
      </c>
      <c r="B277" s="111" t="s">
        <v>275</v>
      </c>
      <c r="C277" s="47">
        <v>700000</v>
      </c>
      <c r="D277" s="47">
        <f>700000+1032263.32</f>
        <v>1732263.3199999998</v>
      </c>
      <c r="E277" s="70">
        <v>1445193.97</v>
      </c>
      <c r="F277" s="70"/>
      <c r="G277" s="101">
        <f t="shared" si="42"/>
        <v>206.45628142857143</v>
      </c>
      <c r="H277" s="47">
        <f t="shared" si="43"/>
        <v>83.428076627518735</v>
      </c>
      <c r="I277" s="101">
        <f t="shared" si="44"/>
        <v>336.31302439754995</v>
      </c>
      <c r="J277" s="34">
        <v>429716.92</v>
      </c>
    </row>
    <row r="278" spans="1:10" customFormat="1" x14ac:dyDescent="0.2">
      <c r="A278" s="226" t="s">
        <v>274</v>
      </c>
      <c r="B278" s="143" t="s">
        <v>276</v>
      </c>
      <c r="C278" s="47">
        <v>300000</v>
      </c>
      <c r="D278" s="47">
        <v>300000</v>
      </c>
      <c r="E278" s="182">
        <v>0</v>
      </c>
      <c r="F278" s="125"/>
      <c r="G278" s="101">
        <f t="shared" si="42"/>
        <v>0</v>
      </c>
      <c r="H278" s="47">
        <f t="shared" si="43"/>
        <v>0</v>
      </c>
      <c r="I278" s="101">
        <v>0</v>
      </c>
      <c r="J278" s="34">
        <v>0</v>
      </c>
    </row>
    <row r="279" spans="1:10" x14ac:dyDescent="0.2">
      <c r="A279" s="228">
        <v>2333</v>
      </c>
      <c r="B279" s="93" t="s">
        <v>277</v>
      </c>
      <c r="C279" s="114">
        <f>SUM(C280:C281)</f>
        <v>200000</v>
      </c>
      <c r="D279" s="114">
        <f>SUM(D280:D281)</f>
        <v>200000</v>
      </c>
      <c r="E279" s="124">
        <v>0</v>
      </c>
      <c r="F279" s="124"/>
      <c r="G279" s="100">
        <f t="shared" si="42"/>
        <v>0</v>
      </c>
      <c r="H279" s="106">
        <f t="shared" si="43"/>
        <v>0</v>
      </c>
      <c r="I279" s="100">
        <v>0</v>
      </c>
      <c r="J279" s="34">
        <v>60240.23</v>
      </c>
    </row>
    <row r="280" spans="1:10" x14ac:dyDescent="0.2">
      <c r="A280" s="226" t="s">
        <v>278</v>
      </c>
      <c r="B280" s="111" t="s">
        <v>279</v>
      </c>
      <c r="C280" s="47">
        <v>80000</v>
      </c>
      <c r="D280" s="47">
        <v>80000</v>
      </c>
      <c r="E280" s="182">
        <v>0</v>
      </c>
      <c r="F280" s="125"/>
      <c r="G280" s="101">
        <f t="shared" si="42"/>
        <v>0</v>
      </c>
      <c r="H280" s="47">
        <f t="shared" si="43"/>
        <v>0</v>
      </c>
      <c r="I280" s="101">
        <v>0</v>
      </c>
      <c r="J280" s="34">
        <v>0</v>
      </c>
    </row>
    <row r="281" spans="1:10" ht="13.5" thickBot="1" x14ac:dyDescent="0.25">
      <c r="A281" s="226" t="s">
        <v>280</v>
      </c>
      <c r="B281" s="111" t="s">
        <v>281</v>
      </c>
      <c r="C281" s="47">
        <v>120000</v>
      </c>
      <c r="D281" s="47">
        <v>120000</v>
      </c>
      <c r="E281" s="182">
        <v>0</v>
      </c>
      <c r="F281" s="125"/>
      <c r="G281" s="101">
        <f t="shared" si="42"/>
        <v>0</v>
      </c>
      <c r="H281" s="47">
        <f t="shared" si="43"/>
        <v>0</v>
      </c>
      <c r="I281" s="101">
        <v>0</v>
      </c>
      <c r="J281" s="34">
        <v>60240.23</v>
      </c>
    </row>
    <row r="282" spans="1:10" s="21" customFormat="1" ht="16.5" thickBot="1" x14ac:dyDescent="0.3">
      <c r="A282" s="229"/>
      <c r="B282" s="86" t="s">
        <v>282</v>
      </c>
      <c r="C282" s="128">
        <f>SUM(C283+C290+C301)</f>
        <v>31118000</v>
      </c>
      <c r="D282" s="128">
        <f>SUM(D283+D290+D301)</f>
        <v>30879572.879999999</v>
      </c>
      <c r="E282" s="128">
        <v>28014031.84</v>
      </c>
      <c r="F282" s="196">
        <f>SUM(E283,E290,E301)</f>
        <v>28014031.84</v>
      </c>
      <c r="G282" s="89">
        <f t="shared" si="42"/>
        <v>90.02516819847034</v>
      </c>
      <c r="H282" s="89">
        <f t="shared" si="43"/>
        <v>90.720269832955026</v>
      </c>
      <c r="I282" s="89">
        <f t="shared" si="44"/>
        <v>92.396277987820014</v>
      </c>
      <c r="J282" s="34">
        <v>30319437.59</v>
      </c>
    </row>
    <row r="283" spans="1:10" s="21" customFormat="1" x14ac:dyDescent="0.2">
      <c r="A283" s="230">
        <v>2212</v>
      </c>
      <c r="B283" s="231" t="s">
        <v>283</v>
      </c>
      <c r="C283" s="131">
        <f>SUM(C284,C286:C289)</f>
        <v>30048000</v>
      </c>
      <c r="D283" s="131">
        <f>SUM(D284,D286:D289)</f>
        <v>27321933</v>
      </c>
      <c r="E283" s="126">
        <v>26333373.48</v>
      </c>
      <c r="F283" s="160">
        <f>SUM(E284,E286:E289)</f>
        <v>26333373.48</v>
      </c>
      <c r="G283" s="100">
        <f t="shared" si="42"/>
        <v>87.637691293929706</v>
      </c>
      <c r="H283" s="106">
        <f t="shared" si="43"/>
        <v>96.381809735057914</v>
      </c>
      <c r="I283" s="100">
        <f t="shared" si="44"/>
        <v>95.615861706850737</v>
      </c>
      <c r="J283" s="34">
        <v>27540800.25</v>
      </c>
    </row>
    <row r="284" spans="1:10" customFormat="1" x14ac:dyDescent="0.2">
      <c r="A284" s="232"/>
      <c r="B284" s="233" t="s">
        <v>284</v>
      </c>
      <c r="C284" s="47">
        <f>C285</f>
        <v>0</v>
      </c>
      <c r="D284" s="47">
        <f>D285</f>
        <v>300000</v>
      </c>
      <c r="E284" s="182">
        <v>292212.59999999998</v>
      </c>
      <c r="F284" s="125">
        <f>SUM(E285)</f>
        <v>292212.59999999998</v>
      </c>
      <c r="G284" s="101">
        <v>0</v>
      </c>
      <c r="H284" s="47">
        <f t="shared" si="43"/>
        <v>97.404200000000003</v>
      </c>
      <c r="I284" s="101">
        <f t="shared" si="44"/>
        <v>5.8923537347559662</v>
      </c>
      <c r="J284" s="34">
        <v>4959182.92</v>
      </c>
    </row>
    <row r="285" spans="1:10" x14ac:dyDescent="0.2">
      <c r="A285" s="234" t="s">
        <v>285</v>
      </c>
      <c r="B285" s="235" t="s">
        <v>286</v>
      </c>
      <c r="C285" s="70">
        <v>0</v>
      </c>
      <c r="D285" s="70">
        <f>200000+100000</f>
        <v>300000</v>
      </c>
      <c r="E285" s="236">
        <v>292212.59999999998</v>
      </c>
      <c r="F285" s="236"/>
      <c r="G285" s="101">
        <v>0</v>
      </c>
      <c r="H285" s="47">
        <f t="shared" si="43"/>
        <v>97.404200000000003</v>
      </c>
      <c r="I285" s="101">
        <v>0</v>
      </c>
      <c r="J285" s="34">
        <v>0</v>
      </c>
    </row>
    <row r="286" spans="1:10" s="21" customFormat="1" x14ac:dyDescent="0.2">
      <c r="A286" s="226" t="s">
        <v>287</v>
      </c>
      <c r="B286" s="237" t="s">
        <v>288</v>
      </c>
      <c r="C286" s="47">
        <f>5000000+430000</f>
        <v>5430000</v>
      </c>
      <c r="D286" s="47">
        <f>5000000+430000-1200000</f>
        <v>4230000</v>
      </c>
      <c r="E286" s="182">
        <v>4230000</v>
      </c>
      <c r="F286" s="125"/>
      <c r="G286" s="101">
        <f t="shared" si="42"/>
        <v>77.900552486187848</v>
      </c>
      <c r="H286" s="47">
        <f t="shared" si="43"/>
        <v>100</v>
      </c>
      <c r="I286" s="101">
        <f t="shared" si="44"/>
        <v>126.55198204936424</v>
      </c>
      <c r="J286" s="34">
        <v>3342500</v>
      </c>
    </row>
    <row r="287" spans="1:10" s="21" customFormat="1" x14ac:dyDescent="0.2">
      <c r="A287" s="226" t="s">
        <v>287</v>
      </c>
      <c r="B287" s="237" t="s">
        <v>289</v>
      </c>
      <c r="C287" s="47">
        <f>22143000+570000-895000</f>
        <v>21818000</v>
      </c>
      <c r="D287" s="47">
        <f>22143000+570000-895000+(-62863-493612)-2500000+1700000</f>
        <v>20461525</v>
      </c>
      <c r="E287" s="182">
        <v>20461525</v>
      </c>
      <c r="F287" s="125"/>
      <c r="G287" s="101">
        <f t="shared" si="42"/>
        <v>93.782771106425884</v>
      </c>
      <c r="H287" s="47">
        <f t="shared" si="43"/>
        <v>100</v>
      </c>
      <c r="I287" s="101">
        <f t="shared" si="44"/>
        <v>110.67851801366882</v>
      </c>
      <c r="J287" s="34">
        <v>18487350</v>
      </c>
    </row>
    <row r="288" spans="1:10" s="21" customFormat="1" x14ac:dyDescent="0.2">
      <c r="A288" s="226" t="s">
        <v>290</v>
      </c>
      <c r="B288" s="237" t="s">
        <v>291</v>
      </c>
      <c r="C288" s="238">
        <v>500000</v>
      </c>
      <c r="D288" s="238">
        <f>500000+100000+100000+2803+100000+300000+27605</f>
        <v>1130408</v>
      </c>
      <c r="E288" s="182">
        <v>1126902.8799999999</v>
      </c>
      <c r="F288" s="125"/>
      <c r="G288" s="101">
        <f t="shared" si="42"/>
        <v>225.38057599999996</v>
      </c>
      <c r="H288" s="47">
        <f t="shared" si="43"/>
        <v>99.689924345899882</v>
      </c>
      <c r="I288" s="101">
        <f t="shared" si="44"/>
        <v>154.98982831134703</v>
      </c>
      <c r="J288" s="34">
        <v>727081.83</v>
      </c>
    </row>
    <row r="289" spans="1:10" s="21" customFormat="1" x14ac:dyDescent="0.2">
      <c r="A289" s="226" t="s">
        <v>292</v>
      </c>
      <c r="B289" s="237" t="s">
        <v>293</v>
      </c>
      <c r="C289" s="238">
        <v>2300000</v>
      </c>
      <c r="D289" s="238">
        <f>2300000-500000-100000-100000-100000-300000</f>
        <v>1200000</v>
      </c>
      <c r="E289" s="182">
        <v>222733</v>
      </c>
      <c r="F289" s="125"/>
      <c r="G289" s="101">
        <f t="shared" si="42"/>
        <v>9.6840434782608682</v>
      </c>
      <c r="H289" s="47">
        <f t="shared" si="43"/>
        <v>18.561083333333332</v>
      </c>
      <c r="I289" s="101">
        <f t="shared" si="44"/>
        <v>902.28271657450728</v>
      </c>
      <c r="J289" s="34">
        <v>24685.5</v>
      </c>
    </row>
    <row r="290" spans="1:10" s="21" customFormat="1" x14ac:dyDescent="0.2">
      <c r="A290" s="144">
        <v>2219</v>
      </c>
      <c r="B290" s="98" t="s">
        <v>294</v>
      </c>
      <c r="C290" s="239">
        <f>SUM(C291,C298:C300)</f>
        <v>820000</v>
      </c>
      <c r="D290" s="239">
        <f>SUM(D291,D298:D300)</f>
        <v>3200639.88</v>
      </c>
      <c r="E290" s="114">
        <v>1421132.48</v>
      </c>
      <c r="F290" s="70">
        <f>SUM(E291,E298:E300)</f>
        <v>1421132.48</v>
      </c>
      <c r="G290" s="100">
        <f t="shared" si="42"/>
        <v>173.30883902439024</v>
      </c>
      <c r="H290" s="106">
        <f t="shared" si="43"/>
        <v>44.40151136278412</v>
      </c>
      <c r="I290" s="100">
        <f t="shared" si="44"/>
        <v>51.22110544751164</v>
      </c>
      <c r="J290" s="34">
        <v>2774505.68</v>
      </c>
    </row>
    <row r="291" spans="1:10" s="21" customFormat="1" x14ac:dyDescent="0.2">
      <c r="A291" s="226"/>
      <c r="B291" s="156" t="s">
        <v>295</v>
      </c>
      <c r="C291" s="240">
        <f>SUM(C292:C296)</f>
        <v>200000</v>
      </c>
      <c r="D291" s="240">
        <f>SUM(D292:D297)</f>
        <v>2536639.88</v>
      </c>
      <c r="E291" s="70">
        <v>861167.88</v>
      </c>
      <c r="F291" s="70">
        <f>SUM(E292:E297)</f>
        <v>861167.88</v>
      </c>
      <c r="G291" s="101">
        <f t="shared" si="42"/>
        <v>430.58393999999998</v>
      </c>
      <c r="H291" s="47">
        <f t="shared" si="43"/>
        <v>33.949157970346192</v>
      </c>
      <c r="I291" s="101">
        <f t="shared" si="44"/>
        <v>60.053623498272181</v>
      </c>
      <c r="J291" s="34">
        <v>1433998.2</v>
      </c>
    </row>
    <row r="292" spans="1:10" s="21" customFormat="1" x14ac:dyDescent="0.2">
      <c r="A292" s="226" t="s">
        <v>296</v>
      </c>
      <c r="B292" s="111" t="s">
        <v>297</v>
      </c>
      <c r="C292" s="238">
        <v>200000</v>
      </c>
      <c r="D292" s="238">
        <v>200000</v>
      </c>
      <c r="E292" s="70">
        <v>78650</v>
      </c>
      <c r="F292" s="70"/>
      <c r="G292" s="101">
        <f t="shared" si="42"/>
        <v>39.324999999999996</v>
      </c>
      <c r="H292" s="47">
        <f t="shared" si="43"/>
        <v>39.324999999999996</v>
      </c>
      <c r="I292" s="101">
        <v>0</v>
      </c>
      <c r="J292" s="34">
        <v>0</v>
      </c>
    </row>
    <row r="293" spans="1:10" x14ac:dyDescent="0.2">
      <c r="A293" s="234" t="s">
        <v>298</v>
      </c>
      <c r="B293" s="241" t="s">
        <v>299</v>
      </c>
      <c r="C293" s="70">
        <v>0</v>
      </c>
      <c r="D293" s="70">
        <f>700000-151000</f>
        <v>549000</v>
      </c>
      <c r="E293" s="70">
        <v>2000</v>
      </c>
      <c r="F293" s="70"/>
      <c r="G293" s="101">
        <v>0</v>
      </c>
      <c r="H293" s="47">
        <f t="shared" si="43"/>
        <v>0.36429872495446264</v>
      </c>
      <c r="I293" s="101">
        <v>0</v>
      </c>
      <c r="J293" s="34">
        <v>0</v>
      </c>
    </row>
    <row r="294" spans="1:10" x14ac:dyDescent="0.2">
      <c r="A294" s="234" t="s">
        <v>300</v>
      </c>
      <c r="B294" s="241" t="s">
        <v>301</v>
      </c>
      <c r="C294" s="70">
        <v>0</v>
      </c>
      <c r="D294" s="70">
        <v>930000</v>
      </c>
      <c r="E294" s="70">
        <v>46986</v>
      </c>
      <c r="F294" s="70"/>
      <c r="G294" s="101">
        <v>0</v>
      </c>
      <c r="H294" s="47">
        <f t="shared" si="43"/>
        <v>5.0522580645161286</v>
      </c>
      <c r="I294" s="101">
        <v>0</v>
      </c>
      <c r="J294" s="34">
        <v>0</v>
      </c>
    </row>
    <row r="295" spans="1:10" s="21" customFormat="1" x14ac:dyDescent="0.2">
      <c r="A295" s="226" t="s">
        <v>302</v>
      </c>
      <c r="B295" s="111" t="s">
        <v>303</v>
      </c>
      <c r="C295" s="238">
        <v>0</v>
      </c>
      <c r="D295" s="238">
        <v>200000</v>
      </c>
      <c r="E295" s="70">
        <v>75892</v>
      </c>
      <c r="F295" s="70"/>
      <c r="G295" s="101">
        <v>0</v>
      </c>
      <c r="H295" s="47">
        <f t="shared" si="43"/>
        <v>37.946000000000005</v>
      </c>
      <c r="I295" s="101">
        <v>0</v>
      </c>
      <c r="J295" s="34">
        <v>0</v>
      </c>
    </row>
    <row r="296" spans="1:10" s="21" customFormat="1" x14ac:dyDescent="0.2">
      <c r="A296" s="226" t="s">
        <v>304</v>
      </c>
      <c r="B296" s="111" t="s">
        <v>305</v>
      </c>
      <c r="C296" s="238">
        <v>0</v>
      </c>
      <c r="D296" s="238">
        <f>71000-8365.39</f>
        <v>62634.61</v>
      </c>
      <c r="E296" s="70">
        <v>62634.61</v>
      </c>
      <c r="F296" s="70"/>
      <c r="G296" s="101">
        <v>0</v>
      </c>
      <c r="H296" s="47">
        <f t="shared" ref="H296:H359" si="45">E296/D296*100</f>
        <v>100</v>
      </c>
      <c r="I296" s="101">
        <v>0</v>
      </c>
      <c r="J296" s="34">
        <v>0</v>
      </c>
    </row>
    <row r="297" spans="1:10" s="21" customFormat="1" x14ac:dyDescent="0.2">
      <c r="A297" s="226" t="s">
        <v>304</v>
      </c>
      <c r="B297" s="111" t="s">
        <v>306</v>
      </c>
      <c r="C297" s="238">
        <v>0</v>
      </c>
      <c r="D297" s="238">
        <v>595005.27</v>
      </c>
      <c r="E297" s="70">
        <v>595005.27</v>
      </c>
      <c r="F297" s="70"/>
      <c r="G297" s="101">
        <v>0</v>
      </c>
      <c r="H297" s="47">
        <f t="shared" si="45"/>
        <v>100</v>
      </c>
      <c r="I297" s="101">
        <f t="shared" ref="I297:I359" si="46">E297/J297*100</f>
        <v>51.509877039654029</v>
      </c>
      <c r="J297" s="34">
        <v>1155128.5</v>
      </c>
    </row>
    <row r="298" spans="1:10" s="21" customFormat="1" x14ac:dyDescent="0.2">
      <c r="A298" s="226" t="s">
        <v>307</v>
      </c>
      <c r="B298" s="111" t="s">
        <v>308</v>
      </c>
      <c r="C298" s="238">
        <v>20000</v>
      </c>
      <c r="D298" s="238">
        <v>20000</v>
      </c>
      <c r="E298" s="70">
        <v>1929.93</v>
      </c>
      <c r="F298" s="70"/>
      <c r="G298" s="101">
        <f t="shared" ref="G298:G361" si="47">E298/C298*100</f>
        <v>9.6496499999999994</v>
      </c>
      <c r="H298" s="47">
        <f t="shared" si="45"/>
        <v>9.6496499999999994</v>
      </c>
      <c r="I298" s="101">
        <v>0</v>
      </c>
      <c r="J298" s="34">
        <v>0</v>
      </c>
    </row>
    <row r="299" spans="1:10" s="21" customFormat="1" x14ac:dyDescent="0.2">
      <c r="A299" s="242" t="s">
        <v>309</v>
      </c>
      <c r="B299" s="167" t="s">
        <v>310</v>
      </c>
      <c r="C299" s="238">
        <v>100000</v>
      </c>
      <c r="D299" s="238">
        <f>100000-50000</f>
        <v>50000</v>
      </c>
      <c r="E299" s="70">
        <v>0</v>
      </c>
      <c r="F299" s="70"/>
      <c r="G299" s="101">
        <f t="shared" si="47"/>
        <v>0</v>
      </c>
      <c r="H299" s="47">
        <f t="shared" si="45"/>
        <v>0</v>
      </c>
      <c r="I299" s="101">
        <v>0</v>
      </c>
      <c r="J299" s="34">
        <v>0</v>
      </c>
    </row>
    <row r="300" spans="1:10" s="21" customFormat="1" x14ac:dyDescent="0.2">
      <c r="A300" s="242" t="s">
        <v>311</v>
      </c>
      <c r="B300" s="167" t="s">
        <v>312</v>
      </c>
      <c r="C300" s="238">
        <v>500000</v>
      </c>
      <c r="D300" s="238">
        <f>500000+44000+50000</f>
        <v>594000</v>
      </c>
      <c r="E300" s="70">
        <v>558034.67000000004</v>
      </c>
      <c r="F300" s="70"/>
      <c r="G300" s="101">
        <f t="shared" si="47"/>
        <v>111.60693400000001</v>
      </c>
      <c r="H300" s="47">
        <f t="shared" si="45"/>
        <v>93.945230639730653</v>
      </c>
      <c r="I300" s="101">
        <f t="shared" si="46"/>
        <v>303.10677636205173</v>
      </c>
      <c r="J300" s="34">
        <v>184104.98</v>
      </c>
    </row>
    <row r="301" spans="1:10" x14ac:dyDescent="0.2">
      <c r="A301" s="144">
        <v>2221</v>
      </c>
      <c r="B301" s="98" t="s">
        <v>313</v>
      </c>
      <c r="C301" s="239">
        <f>SUM(C303:C305)</f>
        <v>250000</v>
      </c>
      <c r="D301" s="239">
        <f>SUM(D303:D305)</f>
        <v>357000</v>
      </c>
      <c r="E301" s="114">
        <v>259525.88</v>
      </c>
      <c r="F301" s="70">
        <f>SUM(E303:E305)</f>
        <v>259525.89</v>
      </c>
      <c r="G301" s="100">
        <f t="shared" si="47"/>
        <v>103.81035199999999</v>
      </c>
      <c r="H301" s="106">
        <f t="shared" si="45"/>
        <v>72.696324929971993</v>
      </c>
      <c r="I301" s="100">
        <f t="shared" si="46"/>
        <v>6281.3948872850142</v>
      </c>
      <c r="J301" s="34">
        <v>4131.66</v>
      </c>
    </row>
    <row r="302" spans="1:10" customFormat="1" x14ac:dyDescent="0.2">
      <c r="A302" s="232"/>
      <c r="B302" s="233" t="s">
        <v>295</v>
      </c>
      <c r="C302" s="240">
        <f>SUM(C303)</f>
        <v>100000</v>
      </c>
      <c r="D302" s="240">
        <f>SUM(D303)</f>
        <v>160000</v>
      </c>
      <c r="E302" s="182">
        <v>122642.21</v>
      </c>
      <c r="F302" s="125"/>
      <c r="G302" s="101">
        <f t="shared" si="47"/>
        <v>122.64220999999999</v>
      </c>
      <c r="H302" s="47">
        <f t="shared" si="45"/>
        <v>76.65138125</v>
      </c>
      <c r="I302" s="101">
        <v>0</v>
      </c>
      <c r="J302" s="34">
        <v>0</v>
      </c>
    </row>
    <row r="303" spans="1:10" x14ac:dyDescent="0.2">
      <c r="A303" s="226" t="s">
        <v>314</v>
      </c>
      <c r="B303" s="152" t="s">
        <v>315</v>
      </c>
      <c r="C303" s="238">
        <v>100000</v>
      </c>
      <c r="D303" s="238">
        <f>100000+60000</f>
        <v>160000</v>
      </c>
      <c r="E303" s="145">
        <v>122642.21</v>
      </c>
      <c r="F303" s="70"/>
      <c r="G303" s="101">
        <f t="shared" si="47"/>
        <v>122.64220999999999</v>
      </c>
      <c r="H303" s="47">
        <f t="shared" si="45"/>
        <v>76.65138125</v>
      </c>
      <c r="I303" s="101">
        <v>0</v>
      </c>
      <c r="J303" s="34">
        <v>0</v>
      </c>
    </row>
    <row r="304" spans="1:10" x14ac:dyDescent="0.2">
      <c r="A304" s="243" t="s">
        <v>316</v>
      </c>
      <c r="B304" s="156" t="s">
        <v>317</v>
      </c>
      <c r="C304" s="238">
        <v>60000</v>
      </c>
      <c r="D304" s="238">
        <f>60000-60000</f>
        <v>0</v>
      </c>
      <c r="E304" s="145">
        <v>0</v>
      </c>
      <c r="F304" s="70"/>
      <c r="G304" s="101">
        <f t="shared" si="47"/>
        <v>0</v>
      </c>
      <c r="H304" s="47">
        <v>0</v>
      </c>
      <c r="I304" s="101">
        <f t="shared" si="46"/>
        <v>0</v>
      </c>
      <c r="J304" s="34">
        <v>325</v>
      </c>
    </row>
    <row r="305" spans="1:10" ht="13.5" thickBot="1" x14ac:dyDescent="0.25">
      <c r="A305" s="244" t="s">
        <v>318</v>
      </c>
      <c r="B305" s="245" t="s">
        <v>319</v>
      </c>
      <c r="C305" s="246">
        <v>90000</v>
      </c>
      <c r="D305" s="246">
        <f>90000+107000</f>
        <v>197000</v>
      </c>
      <c r="E305" s="182">
        <v>136883.68</v>
      </c>
      <c r="F305" s="125"/>
      <c r="G305" s="101">
        <f t="shared" si="47"/>
        <v>152.09297777777778</v>
      </c>
      <c r="H305" s="47">
        <f t="shared" si="45"/>
        <v>69.484101522842636</v>
      </c>
      <c r="I305" s="101">
        <f t="shared" si="46"/>
        <v>3595.8998176879468</v>
      </c>
      <c r="J305" s="34">
        <v>3806.66</v>
      </c>
    </row>
    <row r="306" spans="1:10" ht="16.5" thickBot="1" x14ac:dyDescent="0.3">
      <c r="A306" s="161"/>
      <c r="B306" s="162" t="s">
        <v>320</v>
      </c>
      <c r="C306" s="247">
        <f t="shared" ref="C306:D306" si="48">C307</f>
        <v>10600000</v>
      </c>
      <c r="D306" s="247">
        <f t="shared" si="48"/>
        <v>2200000</v>
      </c>
      <c r="E306" s="248">
        <v>1725599</v>
      </c>
      <c r="F306" s="249">
        <f>SUM(E307)</f>
        <v>1725599</v>
      </c>
      <c r="G306" s="89">
        <f t="shared" si="47"/>
        <v>16.279235849056604</v>
      </c>
      <c r="H306" s="89">
        <f t="shared" si="45"/>
        <v>78.43631818181818</v>
      </c>
      <c r="I306" s="89">
        <f t="shared" si="46"/>
        <v>108.64672542256774</v>
      </c>
      <c r="J306" s="34">
        <v>1588266</v>
      </c>
    </row>
    <row r="307" spans="1:10" x14ac:dyDescent="0.2">
      <c r="A307" s="250">
        <v>3639</v>
      </c>
      <c r="B307" s="225" t="s">
        <v>321</v>
      </c>
      <c r="C307" s="251">
        <f>SUM(C308:C315)</f>
        <v>10600000</v>
      </c>
      <c r="D307" s="251">
        <f>SUM(D308:D315)</f>
        <v>2200000</v>
      </c>
      <c r="E307" s="208">
        <v>1725599</v>
      </c>
      <c r="F307" s="141">
        <f>SUM(E308:E315)</f>
        <v>1725599</v>
      </c>
      <c r="G307" s="100">
        <f t="shared" si="47"/>
        <v>16.279235849056604</v>
      </c>
      <c r="H307" s="106">
        <f t="shared" si="45"/>
        <v>78.43631818181818</v>
      </c>
      <c r="I307" s="100">
        <f t="shared" si="46"/>
        <v>108.64672542256774</v>
      </c>
      <c r="J307" s="34">
        <v>1588266</v>
      </c>
    </row>
    <row r="308" spans="1:10" x14ac:dyDescent="0.2">
      <c r="A308" s="226" t="s">
        <v>322</v>
      </c>
      <c r="B308" s="152" t="s">
        <v>323</v>
      </c>
      <c r="C308" s="238">
        <f>2000000+8000000</f>
        <v>10000000</v>
      </c>
      <c r="D308" s="238">
        <f>2000000+8000000-8500000+17250+100000</f>
        <v>1617250</v>
      </c>
      <c r="E308" s="182">
        <v>1517250</v>
      </c>
      <c r="F308" s="125"/>
      <c r="G308" s="101">
        <f t="shared" si="47"/>
        <v>15.172499999999999</v>
      </c>
      <c r="H308" s="47">
        <f t="shared" si="45"/>
        <v>93.816664090276703</v>
      </c>
      <c r="I308" s="101">
        <f t="shared" si="46"/>
        <v>124.46463186442236</v>
      </c>
      <c r="J308" s="34">
        <v>1219021</v>
      </c>
    </row>
    <row r="309" spans="1:10" x14ac:dyDescent="0.2">
      <c r="A309" s="226" t="s">
        <v>324</v>
      </c>
      <c r="B309" s="111" t="s">
        <v>325</v>
      </c>
      <c r="C309" s="238">
        <v>100000</v>
      </c>
      <c r="D309" s="238">
        <v>100000</v>
      </c>
      <c r="E309" s="24">
        <v>0</v>
      </c>
      <c r="F309" s="24"/>
      <c r="G309" s="101">
        <f t="shared" si="47"/>
        <v>0</v>
      </c>
      <c r="H309" s="47">
        <f t="shared" si="45"/>
        <v>0</v>
      </c>
      <c r="I309" s="101">
        <v>0</v>
      </c>
      <c r="J309" s="34">
        <v>0</v>
      </c>
    </row>
    <row r="310" spans="1:10" x14ac:dyDescent="0.2">
      <c r="A310" s="252" t="s">
        <v>324</v>
      </c>
      <c r="B310" s="167" t="s">
        <v>326</v>
      </c>
      <c r="C310" s="47">
        <v>50000</v>
      </c>
      <c r="D310" s="47">
        <v>50000</v>
      </c>
      <c r="E310" s="24">
        <v>0</v>
      </c>
      <c r="F310" s="24"/>
      <c r="G310" s="101">
        <f t="shared" si="47"/>
        <v>0</v>
      </c>
      <c r="H310" s="47">
        <f t="shared" si="45"/>
        <v>0</v>
      </c>
      <c r="I310" s="101">
        <v>0</v>
      </c>
      <c r="J310" s="34">
        <v>0</v>
      </c>
    </row>
    <row r="311" spans="1:10" x14ac:dyDescent="0.2">
      <c r="A311" s="226" t="s">
        <v>327</v>
      </c>
      <c r="B311" s="111" t="s">
        <v>328</v>
      </c>
      <c r="C311" s="47">
        <v>50000</v>
      </c>
      <c r="D311" s="47">
        <v>50000</v>
      </c>
      <c r="E311" s="70">
        <v>3577</v>
      </c>
      <c r="F311" s="70"/>
      <c r="G311" s="101">
        <f t="shared" si="47"/>
        <v>7.1540000000000008</v>
      </c>
      <c r="H311" s="47">
        <f t="shared" si="45"/>
        <v>7.1540000000000008</v>
      </c>
      <c r="I311" s="101">
        <f t="shared" si="46"/>
        <v>6.1511211996148027</v>
      </c>
      <c r="J311" s="19">
        <v>58152</v>
      </c>
    </row>
    <row r="312" spans="1:10" x14ac:dyDescent="0.2">
      <c r="A312" s="226" t="s">
        <v>329</v>
      </c>
      <c r="B312" s="111" t="s">
        <v>330</v>
      </c>
      <c r="C312" s="47">
        <v>150000</v>
      </c>
      <c r="D312" s="47">
        <v>150000</v>
      </c>
      <c r="E312" s="253">
        <v>70660</v>
      </c>
      <c r="F312" s="254"/>
      <c r="G312" s="101">
        <f t="shared" si="47"/>
        <v>47.106666666666669</v>
      </c>
      <c r="H312" s="47">
        <f t="shared" si="45"/>
        <v>47.106666666666669</v>
      </c>
      <c r="I312" s="101">
        <f t="shared" si="46"/>
        <v>59.204021784666949</v>
      </c>
      <c r="J312" s="34">
        <v>119350</v>
      </c>
    </row>
    <row r="313" spans="1:10" x14ac:dyDescent="0.2">
      <c r="A313" s="226" t="s">
        <v>331</v>
      </c>
      <c r="B313" s="111" t="s">
        <v>332</v>
      </c>
      <c r="C313" s="47">
        <v>210000</v>
      </c>
      <c r="D313" s="47">
        <f>210000-17250-7221</f>
        <v>185529</v>
      </c>
      <c r="E313" s="70">
        <v>96891</v>
      </c>
      <c r="F313" s="70"/>
      <c r="G313" s="101">
        <f t="shared" si="47"/>
        <v>46.138571428571431</v>
      </c>
      <c r="H313" s="47">
        <f t="shared" si="45"/>
        <v>52.224180586323435</v>
      </c>
      <c r="I313" s="101">
        <f t="shared" si="46"/>
        <v>61.094891891721467</v>
      </c>
      <c r="J313" s="34">
        <f>149516+9075</f>
        <v>158591</v>
      </c>
    </row>
    <row r="314" spans="1:10" x14ac:dyDescent="0.2">
      <c r="A314" s="243" t="s">
        <v>333</v>
      </c>
      <c r="B314" s="111" t="s">
        <v>334</v>
      </c>
      <c r="C314" s="47">
        <v>10000</v>
      </c>
      <c r="D314" s="47">
        <v>10000</v>
      </c>
      <c r="E314" s="145">
        <v>0</v>
      </c>
      <c r="F314" s="70"/>
      <c r="G314" s="101">
        <f t="shared" si="47"/>
        <v>0</v>
      </c>
      <c r="H314" s="47">
        <f t="shared" si="45"/>
        <v>0</v>
      </c>
      <c r="I314" s="101">
        <v>0</v>
      </c>
      <c r="J314" s="34">
        <v>31152</v>
      </c>
    </row>
    <row r="315" spans="1:10" ht="13.5" thickBot="1" x14ac:dyDescent="0.25">
      <c r="A315" s="243" t="s">
        <v>335</v>
      </c>
      <c r="B315" s="245" t="s">
        <v>336</v>
      </c>
      <c r="C315" s="47">
        <v>30000</v>
      </c>
      <c r="D315" s="47">
        <f>30000+7221</f>
        <v>37221</v>
      </c>
      <c r="E315" s="182">
        <v>37221</v>
      </c>
      <c r="F315" s="125"/>
      <c r="G315" s="101">
        <f t="shared" si="47"/>
        <v>124.07</v>
      </c>
      <c r="H315" s="47">
        <f t="shared" si="45"/>
        <v>100</v>
      </c>
      <c r="I315" s="101">
        <f t="shared" si="46"/>
        <v>1861.0499999999997</v>
      </c>
      <c r="J315" s="34">
        <v>2000</v>
      </c>
    </row>
    <row r="316" spans="1:10" ht="16.5" thickBot="1" x14ac:dyDescent="0.3">
      <c r="A316" s="229"/>
      <c r="B316" s="86" t="s">
        <v>337</v>
      </c>
      <c r="C316" s="255">
        <f>SUM(C317,C320,C328,C336,C347,C354,C356,C359)</f>
        <v>21339069.59</v>
      </c>
      <c r="D316" s="255">
        <f>SUM(D317,D320,D328,D336,D347,D354,D356,D359)</f>
        <v>22409414.59</v>
      </c>
      <c r="E316" s="128">
        <v>14007009.880000001</v>
      </c>
      <c r="F316" s="196">
        <f>SUM(E317,E320,E328,E336,E347,E354,E356,E359)</f>
        <v>14007009.879999999</v>
      </c>
      <c r="G316" s="89">
        <f t="shared" si="47"/>
        <v>65.640209011568246</v>
      </c>
      <c r="H316" s="89">
        <f t="shared" si="45"/>
        <v>62.505023608472584</v>
      </c>
      <c r="I316" s="89">
        <f t="shared" si="46"/>
        <v>117.21786869536759</v>
      </c>
      <c r="J316" s="34">
        <v>11949551.75</v>
      </c>
    </row>
    <row r="317" spans="1:10" x14ac:dyDescent="0.2">
      <c r="A317" s="224">
        <v>3341</v>
      </c>
      <c r="B317" s="231" t="s">
        <v>338</v>
      </c>
      <c r="C317" s="131">
        <f>SUM(C318:C319)</f>
        <v>150000</v>
      </c>
      <c r="D317" s="131">
        <f>SUM(D318:D319)</f>
        <v>257912</v>
      </c>
      <c r="E317" s="114">
        <v>202786.9</v>
      </c>
      <c r="F317" s="145">
        <f>SUM(E318:E319)</f>
        <v>202786.8</v>
      </c>
      <c r="G317" s="100">
        <f t="shared" si="47"/>
        <v>135.19126666666665</v>
      </c>
      <c r="H317" s="106">
        <f t="shared" si="45"/>
        <v>78.626391947641054</v>
      </c>
      <c r="I317" s="100">
        <f t="shared" si="46"/>
        <v>117.24059781535668</v>
      </c>
      <c r="J317" s="34">
        <v>172966.45</v>
      </c>
    </row>
    <row r="318" spans="1:10" x14ac:dyDescent="0.2">
      <c r="A318" s="226" t="s">
        <v>339</v>
      </c>
      <c r="B318" s="186" t="s">
        <v>340</v>
      </c>
      <c r="C318" s="47">
        <v>145000</v>
      </c>
      <c r="D318" s="47">
        <f>145000+53912+54000</f>
        <v>252912</v>
      </c>
      <c r="E318" s="70">
        <v>198911.8</v>
      </c>
      <c r="F318" s="70"/>
      <c r="G318" s="101">
        <f t="shared" si="47"/>
        <v>137.18055172413793</v>
      </c>
      <c r="H318" s="47">
        <f t="shared" si="45"/>
        <v>78.648620864174092</v>
      </c>
      <c r="I318" s="101">
        <f t="shared" si="46"/>
        <v>117.63563444514786</v>
      </c>
      <c r="J318" s="19">
        <v>169091.45</v>
      </c>
    </row>
    <row r="319" spans="1:10" x14ac:dyDescent="0.2">
      <c r="A319" s="226" t="s">
        <v>341</v>
      </c>
      <c r="B319" s="186" t="s">
        <v>342</v>
      </c>
      <c r="C319" s="47">
        <v>5000</v>
      </c>
      <c r="D319" s="47">
        <v>5000</v>
      </c>
      <c r="E319" s="70">
        <v>3875</v>
      </c>
      <c r="F319" s="70"/>
      <c r="G319" s="101">
        <f t="shared" si="47"/>
        <v>77.5</v>
      </c>
      <c r="H319" s="47">
        <f t="shared" si="45"/>
        <v>77.5</v>
      </c>
      <c r="I319" s="101">
        <f t="shared" si="46"/>
        <v>100</v>
      </c>
      <c r="J319" s="34">
        <v>3875</v>
      </c>
    </row>
    <row r="320" spans="1:10" x14ac:dyDescent="0.2">
      <c r="A320" s="228">
        <v>3421</v>
      </c>
      <c r="B320" s="183" t="s">
        <v>343</v>
      </c>
      <c r="C320" s="114">
        <f>SUM(C321:C327)</f>
        <v>1770000</v>
      </c>
      <c r="D320" s="114">
        <f>SUM(D321:D327)</f>
        <v>2120000</v>
      </c>
      <c r="E320" s="114">
        <v>1355267.75</v>
      </c>
      <c r="F320" s="145">
        <f>SUM(E321:E327)</f>
        <v>1355267.75</v>
      </c>
      <c r="G320" s="100">
        <f t="shared" si="47"/>
        <v>76.568799435028239</v>
      </c>
      <c r="H320" s="106">
        <f t="shared" si="45"/>
        <v>63.927724056603772</v>
      </c>
      <c r="I320" s="100">
        <f t="shared" si="46"/>
        <v>129.99012260653575</v>
      </c>
      <c r="J320" s="19">
        <v>1042592.87</v>
      </c>
    </row>
    <row r="321" spans="1:10" x14ac:dyDescent="0.2">
      <c r="A321" s="226" t="s">
        <v>344</v>
      </c>
      <c r="B321" s="256" t="s">
        <v>345</v>
      </c>
      <c r="C321" s="47">
        <v>450000</v>
      </c>
      <c r="D321" s="47">
        <f>450000-50000</f>
        <v>400000</v>
      </c>
      <c r="E321" s="70">
        <v>400000</v>
      </c>
      <c r="F321" s="70"/>
      <c r="G321" s="101">
        <f t="shared" si="47"/>
        <v>88.888888888888886</v>
      </c>
      <c r="H321" s="47">
        <f t="shared" si="45"/>
        <v>100</v>
      </c>
      <c r="I321" s="101">
        <f t="shared" si="46"/>
        <v>114.28571428571428</v>
      </c>
      <c r="J321" s="19">
        <v>350000</v>
      </c>
    </row>
    <row r="322" spans="1:10" x14ac:dyDescent="0.2">
      <c r="A322" s="226" t="s">
        <v>346</v>
      </c>
      <c r="B322" s="257" t="s">
        <v>347</v>
      </c>
      <c r="C322" s="47">
        <v>600000</v>
      </c>
      <c r="D322" s="47">
        <f>600000-60306-350000</f>
        <v>189694</v>
      </c>
      <c r="E322" s="70">
        <v>0</v>
      </c>
      <c r="F322" s="70"/>
      <c r="G322" s="101">
        <f t="shared" si="47"/>
        <v>0</v>
      </c>
      <c r="H322" s="47">
        <f t="shared" si="45"/>
        <v>0</v>
      </c>
      <c r="I322" s="101">
        <v>0</v>
      </c>
      <c r="J322" s="19">
        <v>0</v>
      </c>
    </row>
    <row r="323" spans="1:10" x14ac:dyDescent="0.2">
      <c r="A323" s="226" t="s">
        <v>348</v>
      </c>
      <c r="B323" s="257" t="s">
        <v>349</v>
      </c>
      <c r="C323" s="47">
        <v>100000</v>
      </c>
      <c r="D323" s="47">
        <v>100000</v>
      </c>
      <c r="E323" s="104">
        <v>9934.1</v>
      </c>
      <c r="F323" s="104"/>
      <c r="G323" s="101">
        <f t="shared" si="47"/>
        <v>9.934099999999999</v>
      </c>
      <c r="H323" s="47">
        <f t="shared" si="45"/>
        <v>9.934099999999999</v>
      </c>
      <c r="I323" s="101">
        <f t="shared" si="46"/>
        <v>17.429019217870547</v>
      </c>
      <c r="J323" s="19">
        <v>56997.47</v>
      </c>
    </row>
    <row r="324" spans="1:10" x14ac:dyDescent="0.2">
      <c r="A324" s="226" t="s">
        <v>350</v>
      </c>
      <c r="B324" s="257" t="s">
        <v>351</v>
      </c>
      <c r="C324" s="47">
        <v>120000</v>
      </c>
      <c r="D324" s="47">
        <f>120000-38393.3</f>
        <v>81606.7</v>
      </c>
      <c r="E324" s="104">
        <v>60319</v>
      </c>
      <c r="F324" s="104"/>
      <c r="G324" s="101">
        <f t="shared" si="47"/>
        <v>50.265833333333333</v>
      </c>
      <c r="H324" s="47">
        <f t="shared" si="45"/>
        <v>73.914274195623648</v>
      </c>
      <c r="I324" s="101">
        <f t="shared" si="46"/>
        <v>52.556875114360146</v>
      </c>
      <c r="J324" s="19">
        <v>114769</v>
      </c>
    </row>
    <row r="325" spans="1:10" x14ac:dyDescent="0.2">
      <c r="A325" s="226" t="s">
        <v>352</v>
      </c>
      <c r="B325" s="256" t="s">
        <v>353</v>
      </c>
      <c r="C325" s="47">
        <v>500000</v>
      </c>
      <c r="D325" s="47">
        <f>500000+750000</f>
        <v>1250000</v>
      </c>
      <c r="E325" s="104">
        <v>786315.35</v>
      </c>
      <c r="F325" s="104"/>
      <c r="G325" s="101">
        <f t="shared" si="47"/>
        <v>157.26307</v>
      </c>
      <c r="H325" s="47">
        <f t="shared" si="45"/>
        <v>62.905228000000001</v>
      </c>
      <c r="I325" s="101">
        <f t="shared" si="46"/>
        <v>246.00999476265173</v>
      </c>
      <c r="J325" s="19">
        <v>319627.40000000002</v>
      </c>
    </row>
    <row r="326" spans="1:10" x14ac:dyDescent="0.2">
      <c r="A326" s="226" t="s">
        <v>354</v>
      </c>
      <c r="B326" s="256" t="s">
        <v>355</v>
      </c>
      <c r="C326" s="47">
        <v>0</v>
      </c>
      <c r="D326" s="47">
        <v>60306</v>
      </c>
      <c r="E326" s="70">
        <v>60306</v>
      </c>
      <c r="F326" s="104"/>
      <c r="G326" s="101">
        <v>0</v>
      </c>
      <c r="H326" s="47">
        <f t="shared" si="45"/>
        <v>100</v>
      </c>
      <c r="I326" s="101">
        <v>0</v>
      </c>
      <c r="J326" s="19">
        <v>0</v>
      </c>
    </row>
    <row r="327" spans="1:10" x14ac:dyDescent="0.2">
      <c r="A327" s="226" t="s">
        <v>354</v>
      </c>
      <c r="B327" s="256" t="s">
        <v>356</v>
      </c>
      <c r="C327" s="47">
        <v>0</v>
      </c>
      <c r="D327" s="47">
        <v>38393.300000000003</v>
      </c>
      <c r="E327" s="70">
        <v>38393.300000000003</v>
      </c>
      <c r="F327" s="104"/>
      <c r="G327" s="101">
        <v>0</v>
      </c>
      <c r="H327" s="47">
        <f t="shared" si="45"/>
        <v>100</v>
      </c>
      <c r="I327" s="101">
        <v>0</v>
      </c>
      <c r="J327" s="19">
        <v>0</v>
      </c>
    </row>
    <row r="328" spans="1:10" x14ac:dyDescent="0.2">
      <c r="A328" s="144">
        <v>3613</v>
      </c>
      <c r="B328" s="183" t="s">
        <v>357</v>
      </c>
      <c r="C328" s="114">
        <f>SUM(C329:C335)</f>
        <v>1120000</v>
      </c>
      <c r="D328" s="114">
        <f>SUM(D329:D335)</f>
        <v>1366000</v>
      </c>
      <c r="E328" s="114">
        <v>300684.88</v>
      </c>
      <c r="F328" s="70">
        <f>SUM(E329:E335)</f>
        <v>300684.88</v>
      </c>
      <c r="G328" s="100">
        <f t="shared" si="47"/>
        <v>26.846864285714283</v>
      </c>
      <c r="H328" s="106">
        <f t="shared" si="45"/>
        <v>22.012070278184481</v>
      </c>
      <c r="I328" s="100">
        <f t="shared" si="46"/>
        <v>32.919515204615806</v>
      </c>
      <c r="J328" s="19">
        <v>913394.01</v>
      </c>
    </row>
    <row r="329" spans="1:10" x14ac:dyDescent="0.2">
      <c r="A329" s="234" t="s">
        <v>358</v>
      </c>
      <c r="B329" s="152" t="s">
        <v>359</v>
      </c>
      <c r="C329" s="70">
        <v>0</v>
      </c>
      <c r="D329" s="70">
        <v>300000</v>
      </c>
      <c r="E329" s="181">
        <v>0</v>
      </c>
      <c r="F329" s="133"/>
      <c r="G329" s="101">
        <v>0</v>
      </c>
      <c r="H329" s="47">
        <f t="shared" si="45"/>
        <v>0</v>
      </c>
      <c r="I329" s="101">
        <v>0</v>
      </c>
      <c r="J329" s="34">
        <v>0</v>
      </c>
    </row>
    <row r="330" spans="1:10" x14ac:dyDescent="0.2">
      <c r="A330" s="243" t="s">
        <v>360</v>
      </c>
      <c r="B330" s="258" t="s">
        <v>361</v>
      </c>
      <c r="C330" s="47">
        <v>5000</v>
      </c>
      <c r="D330" s="47">
        <f>5000-3286.86</f>
        <v>1713.1399999999999</v>
      </c>
      <c r="E330" s="145">
        <v>0</v>
      </c>
      <c r="F330" s="145"/>
      <c r="G330" s="101">
        <f t="shared" si="47"/>
        <v>0</v>
      </c>
      <c r="H330" s="47">
        <f t="shared" si="45"/>
        <v>0</v>
      </c>
      <c r="I330" s="101">
        <v>0</v>
      </c>
      <c r="J330" s="19">
        <v>260005.2</v>
      </c>
    </row>
    <row r="331" spans="1:10" x14ac:dyDescent="0.2">
      <c r="A331" s="243" t="s">
        <v>362</v>
      </c>
      <c r="B331" s="258" t="s">
        <v>363</v>
      </c>
      <c r="C331" s="47">
        <v>5000</v>
      </c>
      <c r="D331" s="47">
        <f>5000+10000+3286.86</f>
        <v>18286.86</v>
      </c>
      <c r="E331" s="70">
        <v>13572.46</v>
      </c>
      <c r="F331" s="70"/>
      <c r="G331" s="101">
        <f t="shared" si="47"/>
        <v>271.44920000000002</v>
      </c>
      <c r="H331" s="47">
        <f t="shared" si="45"/>
        <v>74.21974029439717</v>
      </c>
      <c r="I331" s="101">
        <v>0</v>
      </c>
      <c r="J331" s="19">
        <v>0</v>
      </c>
    </row>
    <row r="332" spans="1:10" x14ac:dyDescent="0.2">
      <c r="A332" s="243" t="s">
        <v>364</v>
      </c>
      <c r="B332" s="237" t="s">
        <v>365</v>
      </c>
      <c r="C332" s="47">
        <v>200000</v>
      </c>
      <c r="D332" s="47">
        <v>200000</v>
      </c>
      <c r="E332" s="70">
        <v>84576.46</v>
      </c>
      <c r="F332" s="70"/>
      <c r="G332" s="101">
        <f t="shared" si="47"/>
        <v>42.288230000000006</v>
      </c>
      <c r="H332" s="47">
        <f t="shared" si="45"/>
        <v>42.288230000000006</v>
      </c>
      <c r="I332" s="101">
        <f t="shared" si="46"/>
        <v>129.35509244963191</v>
      </c>
      <c r="J332" s="19">
        <v>65383.17</v>
      </c>
    </row>
    <row r="333" spans="1:10" x14ac:dyDescent="0.2">
      <c r="A333" s="243" t="s">
        <v>366</v>
      </c>
      <c r="B333" s="237" t="s">
        <v>367</v>
      </c>
      <c r="C333" s="47">
        <v>400000</v>
      </c>
      <c r="D333" s="47">
        <v>400000</v>
      </c>
      <c r="E333" s="70">
        <v>196285.96</v>
      </c>
      <c r="F333" s="70"/>
      <c r="G333" s="101">
        <f t="shared" si="47"/>
        <v>49.071489999999997</v>
      </c>
      <c r="H333" s="47">
        <f t="shared" si="45"/>
        <v>49.071489999999997</v>
      </c>
      <c r="I333" s="101">
        <f t="shared" si="46"/>
        <v>68.045067846097183</v>
      </c>
      <c r="J333" s="19">
        <v>288464.64000000001</v>
      </c>
    </row>
    <row r="334" spans="1:10" x14ac:dyDescent="0.2">
      <c r="A334" s="243" t="s">
        <v>368</v>
      </c>
      <c r="B334" s="237" t="s">
        <v>369</v>
      </c>
      <c r="C334" s="47">
        <v>150000</v>
      </c>
      <c r="D334" s="47">
        <f>150000-10000-54000</f>
        <v>86000</v>
      </c>
      <c r="E334" s="70">
        <v>6250</v>
      </c>
      <c r="F334" s="70"/>
      <c r="G334" s="101">
        <f t="shared" si="47"/>
        <v>4.1666666666666661</v>
      </c>
      <c r="H334" s="47">
        <f t="shared" si="45"/>
        <v>7.2674418604651168</v>
      </c>
      <c r="I334" s="101">
        <f t="shared" si="46"/>
        <v>2.822176891789836</v>
      </c>
      <c r="J334" s="19">
        <v>221460.25</v>
      </c>
    </row>
    <row r="335" spans="1:10" x14ac:dyDescent="0.2">
      <c r="A335" s="243" t="s">
        <v>370</v>
      </c>
      <c r="B335" s="237" t="s">
        <v>371</v>
      </c>
      <c r="C335" s="47">
        <v>360000</v>
      </c>
      <c r="D335" s="47">
        <v>360000</v>
      </c>
      <c r="E335" s="104">
        <v>0</v>
      </c>
      <c r="F335" s="104"/>
      <c r="G335" s="101">
        <f t="shared" si="47"/>
        <v>0</v>
      </c>
      <c r="H335" s="47">
        <f t="shared" si="45"/>
        <v>0</v>
      </c>
      <c r="I335" s="101">
        <f t="shared" si="46"/>
        <v>0</v>
      </c>
      <c r="J335" s="19">
        <v>38544.949999999997</v>
      </c>
    </row>
    <row r="336" spans="1:10" x14ac:dyDescent="0.2">
      <c r="A336" s="144">
        <v>3631</v>
      </c>
      <c r="B336" s="183" t="s">
        <v>372</v>
      </c>
      <c r="C336" s="114">
        <f>SUM(C337,C342:C346)</f>
        <v>11345000</v>
      </c>
      <c r="D336" s="114">
        <f>SUM(D337,D342:D346)</f>
        <v>12549542</v>
      </c>
      <c r="E336" s="103">
        <v>7916965.1500000004</v>
      </c>
      <c r="F336" s="104">
        <f>SUM(E337,E342:E346)</f>
        <v>7916965.1500000004</v>
      </c>
      <c r="G336" s="100">
        <f t="shared" si="47"/>
        <v>69.783738651388276</v>
      </c>
      <c r="H336" s="106">
        <f t="shared" si="45"/>
        <v>63.085689900077632</v>
      </c>
      <c r="I336" s="100">
        <f t="shared" si="46"/>
        <v>112.60374229012635</v>
      </c>
      <c r="J336" s="19">
        <v>7030818.8600000003</v>
      </c>
    </row>
    <row r="337" spans="1:10" x14ac:dyDescent="0.2">
      <c r="A337" s="230"/>
      <c r="B337" s="259" t="s">
        <v>373</v>
      </c>
      <c r="C337" s="160">
        <f>SUM(C338:C341)</f>
        <v>0</v>
      </c>
      <c r="D337" s="160">
        <f>SUM(D338:D341)</f>
        <v>240000</v>
      </c>
      <c r="E337" s="104">
        <v>1250</v>
      </c>
      <c r="F337" s="104">
        <f>SUM(E338:E341)</f>
        <v>1250</v>
      </c>
      <c r="G337" s="101">
        <v>0</v>
      </c>
      <c r="H337" s="47">
        <f t="shared" si="45"/>
        <v>0.52083333333333326</v>
      </c>
      <c r="I337" s="101">
        <v>0</v>
      </c>
      <c r="J337" s="19">
        <v>0</v>
      </c>
    </row>
    <row r="338" spans="1:10" x14ac:dyDescent="0.2">
      <c r="A338" s="234" t="s">
        <v>374</v>
      </c>
      <c r="B338" s="152" t="s">
        <v>375</v>
      </c>
      <c r="C338" s="70">
        <v>0</v>
      </c>
      <c r="D338" s="70">
        <v>80000</v>
      </c>
      <c r="E338" s="181">
        <v>0</v>
      </c>
      <c r="F338" s="260"/>
      <c r="G338" s="101">
        <v>0</v>
      </c>
      <c r="H338" s="47">
        <f t="shared" si="45"/>
        <v>0</v>
      </c>
      <c r="I338" s="101">
        <v>0</v>
      </c>
      <c r="J338" s="19">
        <v>0</v>
      </c>
    </row>
    <row r="339" spans="1:10" x14ac:dyDescent="0.2">
      <c r="A339" s="234" t="s">
        <v>376</v>
      </c>
      <c r="B339" s="152" t="s">
        <v>377</v>
      </c>
      <c r="C339" s="70">
        <v>0</v>
      </c>
      <c r="D339" s="70">
        <v>50000</v>
      </c>
      <c r="E339" s="70">
        <v>0</v>
      </c>
      <c r="F339" s="261"/>
      <c r="G339" s="101">
        <v>0</v>
      </c>
      <c r="H339" s="47">
        <f t="shared" si="45"/>
        <v>0</v>
      </c>
      <c r="I339" s="101">
        <v>0</v>
      </c>
      <c r="J339" s="19">
        <v>0</v>
      </c>
    </row>
    <row r="340" spans="1:10" x14ac:dyDescent="0.2">
      <c r="A340" s="234" t="s">
        <v>378</v>
      </c>
      <c r="B340" s="152" t="s">
        <v>379</v>
      </c>
      <c r="C340" s="70">
        <v>0</v>
      </c>
      <c r="D340" s="70">
        <v>60000</v>
      </c>
      <c r="E340" s="70">
        <v>0</v>
      </c>
      <c r="F340" s="261"/>
      <c r="G340" s="101">
        <v>0</v>
      </c>
      <c r="H340" s="47">
        <f t="shared" si="45"/>
        <v>0</v>
      </c>
      <c r="I340" s="101">
        <v>0</v>
      </c>
      <c r="J340" s="19">
        <v>0</v>
      </c>
    </row>
    <row r="341" spans="1:10" x14ac:dyDescent="0.2">
      <c r="A341" s="234" t="s">
        <v>380</v>
      </c>
      <c r="B341" s="152" t="s">
        <v>381</v>
      </c>
      <c r="C341" s="70">
        <v>0</v>
      </c>
      <c r="D341" s="70">
        <f>450000-400000</f>
        <v>50000</v>
      </c>
      <c r="E341" s="70">
        <v>1250</v>
      </c>
      <c r="F341" s="70"/>
      <c r="G341" s="101">
        <v>0</v>
      </c>
      <c r="H341" s="47">
        <f t="shared" si="45"/>
        <v>2.5</v>
      </c>
      <c r="I341" s="101">
        <v>0</v>
      </c>
      <c r="J341" s="19">
        <v>0</v>
      </c>
    </row>
    <row r="342" spans="1:10" x14ac:dyDescent="0.2">
      <c r="A342" s="226" t="s">
        <v>382</v>
      </c>
      <c r="B342" s="237" t="s">
        <v>383</v>
      </c>
      <c r="C342" s="47">
        <f>4500000+145000</f>
        <v>4645000</v>
      </c>
      <c r="D342" s="47">
        <f>(4500000+145000)-80695-300000</f>
        <v>4264305</v>
      </c>
      <c r="E342" s="104">
        <v>4264305</v>
      </c>
      <c r="F342" s="104"/>
      <c r="G342" s="101">
        <f t="shared" si="47"/>
        <v>91.804198062432718</v>
      </c>
      <c r="H342" s="47">
        <f t="shared" si="45"/>
        <v>100</v>
      </c>
      <c r="I342" s="101">
        <f t="shared" si="46"/>
        <v>110.08777478024034</v>
      </c>
      <c r="J342" s="19">
        <v>3873550</v>
      </c>
    </row>
    <row r="343" spans="1:10" x14ac:dyDescent="0.2">
      <c r="A343" s="243" t="s">
        <v>384</v>
      </c>
      <c r="B343" s="237" t="s">
        <v>385</v>
      </c>
      <c r="C343" s="47">
        <v>150000</v>
      </c>
      <c r="D343" s="47">
        <v>150000</v>
      </c>
      <c r="E343" s="262">
        <v>0</v>
      </c>
      <c r="F343" s="262"/>
      <c r="G343" s="101">
        <f t="shared" si="47"/>
        <v>0</v>
      </c>
      <c r="H343" s="47">
        <f t="shared" si="45"/>
        <v>0</v>
      </c>
      <c r="I343" s="101">
        <v>0</v>
      </c>
      <c r="J343" s="19">
        <v>612517.61</v>
      </c>
    </row>
    <row r="344" spans="1:10" x14ac:dyDescent="0.2">
      <c r="A344" s="243" t="s">
        <v>386</v>
      </c>
      <c r="B344" s="237" t="s">
        <v>387</v>
      </c>
      <c r="C344" s="47">
        <f>3500000-1750000</f>
        <v>1750000</v>
      </c>
      <c r="D344" s="47">
        <f>3500000-1750000+1750000-447700</f>
        <v>3052300</v>
      </c>
      <c r="E344" s="145">
        <v>1103048.1499999999</v>
      </c>
      <c r="F344" s="262">
        <f>SUM(E344:E345)</f>
        <v>1132970.24</v>
      </c>
      <c r="G344" s="101">
        <f t="shared" si="47"/>
        <v>63.031322857142847</v>
      </c>
      <c r="H344" s="47">
        <f t="shared" si="45"/>
        <v>36.138261311142415</v>
      </c>
      <c r="I344" s="101">
        <v>0</v>
      </c>
      <c r="J344" s="19">
        <v>0</v>
      </c>
    </row>
    <row r="345" spans="1:10" x14ac:dyDescent="0.2">
      <c r="A345" s="243" t="s">
        <v>388</v>
      </c>
      <c r="B345" s="237" t="s">
        <v>389</v>
      </c>
      <c r="C345" s="47">
        <v>300000</v>
      </c>
      <c r="D345" s="47">
        <f>300000+42937</f>
        <v>342937</v>
      </c>
      <c r="E345" s="145">
        <v>29922.09</v>
      </c>
      <c r="F345" s="262"/>
      <c r="G345" s="101">
        <f t="shared" si="47"/>
        <v>9.9740300000000008</v>
      </c>
      <c r="H345" s="47">
        <f t="shared" si="45"/>
        <v>8.7252439952527716</v>
      </c>
      <c r="I345" s="101">
        <f t="shared" si="46"/>
        <v>7.7098597967681721</v>
      </c>
      <c r="J345" s="19">
        <v>388101.61</v>
      </c>
    </row>
    <row r="346" spans="1:10" ht="12.75" customHeight="1" x14ac:dyDescent="0.2">
      <c r="A346" s="226" t="s">
        <v>390</v>
      </c>
      <c r="B346" s="237" t="s">
        <v>391</v>
      </c>
      <c r="C346" s="47">
        <v>4500000</v>
      </c>
      <c r="D346" s="47">
        <v>4500000</v>
      </c>
      <c r="E346" s="104">
        <v>2518439.91</v>
      </c>
      <c r="F346" s="104"/>
      <c r="G346" s="101">
        <f t="shared" si="47"/>
        <v>55.965331333333332</v>
      </c>
      <c r="H346" s="47">
        <f t="shared" si="45"/>
        <v>55.965331333333332</v>
      </c>
      <c r="I346" s="101">
        <f t="shared" si="46"/>
        <v>98.966054540694302</v>
      </c>
      <c r="J346" s="19">
        <v>2544751.25</v>
      </c>
    </row>
    <row r="347" spans="1:10" x14ac:dyDescent="0.2">
      <c r="A347" s="144">
        <v>3632</v>
      </c>
      <c r="B347" s="183" t="s">
        <v>392</v>
      </c>
      <c r="C347" s="114">
        <f>SUM(C348,C352:C353)</f>
        <v>4835000</v>
      </c>
      <c r="D347" s="114">
        <f>SUM(D348,D352:D353)</f>
        <v>3580631</v>
      </c>
      <c r="E347" s="103">
        <v>3480631</v>
      </c>
      <c r="F347" s="104">
        <f>SUM(E348,E352:E353)</f>
        <v>3480631</v>
      </c>
      <c r="G347" s="100">
        <f t="shared" si="47"/>
        <v>71.988231644260608</v>
      </c>
      <c r="H347" s="106">
        <f t="shared" si="45"/>
        <v>97.207196161793831</v>
      </c>
      <c r="I347" s="100">
        <f t="shared" si="46"/>
        <v>145.51437111979766</v>
      </c>
      <c r="J347" s="19">
        <v>2391950</v>
      </c>
    </row>
    <row r="348" spans="1:10" customFormat="1" x14ac:dyDescent="0.2">
      <c r="A348" s="232"/>
      <c r="B348" s="186" t="s">
        <v>393</v>
      </c>
      <c r="C348" s="70">
        <f>SUM(C349:C351)</f>
        <v>1420000</v>
      </c>
      <c r="D348" s="70">
        <f>SUM(D349:D351)</f>
        <v>395670</v>
      </c>
      <c r="E348" s="145">
        <v>395670</v>
      </c>
      <c r="F348" s="145">
        <f>SUM(E349:E351)</f>
        <v>395670</v>
      </c>
      <c r="G348" s="101">
        <f t="shared" si="47"/>
        <v>27.864084507042254</v>
      </c>
      <c r="H348" s="47">
        <f t="shared" si="45"/>
        <v>100</v>
      </c>
      <c r="I348" s="101">
        <f t="shared" si="46"/>
        <v>578.46491228070181</v>
      </c>
      <c r="J348" s="19">
        <v>68400</v>
      </c>
    </row>
    <row r="349" spans="1:10" s="21" customFormat="1" x14ac:dyDescent="0.2">
      <c r="A349" s="226" t="s">
        <v>394</v>
      </c>
      <c r="B349" s="237" t="s">
        <v>395</v>
      </c>
      <c r="C349" s="47">
        <v>670000</v>
      </c>
      <c r="D349" s="47">
        <f>670000+93170-367500</f>
        <v>395670</v>
      </c>
      <c r="E349" s="145">
        <v>395670</v>
      </c>
      <c r="F349" s="145"/>
      <c r="G349" s="101">
        <f t="shared" si="47"/>
        <v>59.055223880597019</v>
      </c>
      <c r="H349" s="47">
        <f t="shared" si="45"/>
        <v>100</v>
      </c>
      <c r="I349" s="101">
        <f t="shared" si="46"/>
        <v>578.46491228070181</v>
      </c>
      <c r="J349" s="19">
        <v>68400</v>
      </c>
    </row>
    <row r="350" spans="1:10" s="21" customFormat="1" x14ac:dyDescent="0.2">
      <c r="A350" s="226" t="s">
        <v>394</v>
      </c>
      <c r="B350" s="237" t="s">
        <v>396</v>
      </c>
      <c r="C350" s="47">
        <v>450000</v>
      </c>
      <c r="D350" s="47">
        <f>450000-450000</f>
        <v>0</v>
      </c>
      <c r="E350" s="145">
        <v>0</v>
      </c>
      <c r="F350" s="145"/>
      <c r="G350" s="101">
        <f t="shared" si="47"/>
        <v>0</v>
      </c>
      <c r="H350" s="47">
        <v>0</v>
      </c>
      <c r="I350" s="101">
        <v>0</v>
      </c>
      <c r="J350" s="19">
        <v>0</v>
      </c>
    </row>
    <row r="351" spans="1:10" s="21" customFormat="1" x14ac:dyDescent="0.2">
      <c r="A351" s="226" t="s">
        <v>394</v>
      </c>
      <c r="B351" s="237" t="s">
        <v>397</v>
      </c>
      <c r="C351" s="47">
        <v>300000</v>
      </c>
      <c r="D351" s="47">
        <f>300000-300000</f>
        <v>0</v>
      </c>
      <c r="E351" s="104">
        <v>0</v>
      </c>
      <c r="F351" s="104"/>
      <c r="G351" s="101">
        <f t="shared" si="47"/>
        <v>0</v>
      </c>
      <c r="H351" s="47">
        <v>0</v>
      </c>
      <c r="I351" s="101">
        <v>0</v>
      </c>
      <c r="J351" s="19">
        <v>0</v>
      </c>
    </row>
    <row r="352" spans="1:10" s="21" customFormat="1" x14ac:dyDescent="0.2">
      <c r="A352" s="226" t="s">
        <v>398</v>
      </c>
      <c r="B352" s="237" t="s">
        <v>399</v>
      </c>
      <c r="C352" s="47">
        <f>3170000+145000</f>
        <v>3315000</v>
      </c>
      <c r="D352" s="47">
        <f>(3170000+145000)-130039-100000</f>
        <v>3084961</v>
      </c>
      <c r="E352" s="145">
        <v>3084961</v>
      </c>
      <c r="F352" s="145"/>
      <c r="G352" s="101">
        <f t="shared" si="47"/>
        <v>93.060663650075412</v>
      </c>
      <c r="H352" s="47">
        <f t="shared" si="45"/>
        <v>100</v>
      </c>
      <c r="I352" s="101">
        <f t="shared" si="46"/>
        <v>132.76929698091283</v>
      </c>
      <c r="J352" s="34">
        <v>2323550</v>
      </c>
    </row>
    <row r="353" spans="1:10" s="21" customFormat="1" x14ac:dyDescent="0.2">
      <c r="A353" s="226" t="s">
        <v>400</v>
      </c>
      <c r="B353" s="237" t="s">
        <v>401</v>
      </c>
      <c r="C353" s="47">
        <v>100000</v>
      </c>
      <c r="D353" s="47">
        <v>100000</v>
      </c>
      <c r="E353" s="262">
        <v>0</v>
      </c>
      <c r="F353" s="262"/>
      <c r="G353" s="101">
        <f t="shared" si="47"/>
        <v>0</v>
      </c>
      <c r="H353" s="47">
        <f t="shared" si="45"/>
        <v>0</v>
      </c>
      <c r="I353" s="101">
        <v>0</v>
      </c>
      <c r="J353" s="34">
        <v>0</v>
      </c>
    </row>
    <row r="354" spans="1:10" s="21" customFormat="1" x14ac:dyDescent="0.2">
      <c r="A354" s="144">
        <v>3633</v>
      </c>
      <c r="B354" s="183" t="s">
        <v>402</v>
      </c>
      <c r="C354" s="106">
        <v>1355000</v>
      </c>
      <c r="D354" s="106">
        <f>D355</f>
        <v>1780000</v>
      </c>
      <c r="E354" s="103">
        <v>0</v>
      </c>
      <c r="F354" s="262"/>
      <c r="G354" s="100">
        <f t="shared" si="47"/>
        <v>0</v>
      </c>
      <c r="H354" s="106">
        <f t="shared" si="45"/>
        <v>0</v>
      </c>
      <c r="I354" s="100">
        <v>0</v>
      </c>
      <c r="J354" s="34">
        <v>0</v>
      </c>
    </row>
    <row r="355" spans="1:10" s="21" customFormat="1" ht="24.75" x14ac:dyDescent="0.2">
      <c r="A355" s="226"/>
      <c r="B355" s="263" t="s">
        <v>403</v>
      </c>
      <c r="C355" s="47">
        <v>1355000</v>
      </c>
      <c r="D355" s="47">
        <f>1355000+425000</f>
        <v>1780000</v>
      </c>
      <c r="E355" s="70">
        <v>0</v>
      </c>
      <c r="F355" s="70"/>
      <c r="G355" s="104">
        <f t="shared" si="47"/>
        <v>0</v>
      </c>
      <c r="H355" s="47">
        <f t="shared" si="45"/>
        <v>0</v>
      </c>
      <c r="I355" s="104">
        <v>0</v>
      </c>
      <c r="J355" s="19">
        <v>0</v>
      </c>
    </row>
    <row r="356" spans="1:10" s="21" customFormat="1" x14ac:dyDescent="0.2">
      <c r="A356" s="144">
        <v>3639</v>
      </c>
      <c r="B356" s="183" t="s">
        <v>404</v>
      </c>
      <c r="C356" s="114">
        <f>C357+C358</f>
        <v>14069.59</v>
      </c>
      <c r="D356" s="114">
        <f>D357+D358</f>
        <v>14069.59</v>
      </c>
      <c r="E356" s="114">
        <v>9414.2000000000007</v>
      </c>
      <c r="F356" s="70">
        <f>SUM(E357:E358)</f>
        <v>9414.2000000000007</v>
      </c>
      <c r="G356" s="100">
        <f t="shared" si="47"/>
        <v>66.911686836645572</v>
      </c>
      <c r="H356" s="106">
        <f t="shared" si="45"/>
        <v>66.911686836645572</v>
      </c>
      <c r="I356" s="100">
        <f t="shared" si="46"/>
        <v>4.758742828928094</v>
      </c>
      <c r="J356" s="34">
        <v>197829.56</v>
      </c>
    </row>
    <row r="357" spans="1:10" s="21" customFormat="1" x14ac:dyDescent="0.2">
      <c r="A357" s="226" t="s">
        <v>405</v>
      </c>
      <c r="B357" s="258" t="s">
        <v>406</v>
      </c>
      <c r="C357" s="47">
        <v>9069.59</v>
      </c>
      <c r="D357" s="47">
        <f>9069.59+344.61</f>
        <v>9414.2000000000007</v>
      </c>
      <c r="E357" s="145">
        <v>9414.2000000000007</v>
      </c>
      <c r="F357" s="70"/>
      <c r="G357" s="101">
        <f t="shared" si="47"/>
        <v>103.79962049001112</v>
      </c>
      <c r="H357" s="47">
        <f t="shared" si="45"/>
        <v>100</v>
      </c>
      <c r="I357" s="101">
        <f t="shared" si="46"/>
        <v>103.79996383507029</v>
      </c>
      <c r="J357" s="34">
        <v>9069.56</v>
      </c>
    </row>
    <row r="358" spans="1:10" s="21" customFormat="1" x14ac:dyDescent="0.2">
      <c r="A358" s="243" t="s">
        <v>407</v>
      </c>
      <c r="B358" s="237" t="s">
        <v>408</v>
      </c>
      <c r="C358" s="47">
        <v>5000</v>
      </c>
      <c r="D358" s="47">
        <f>5000-344.61</f>
        <v>4655.3900000000003</v>
      </c>
      <c r="E358" s="145">
        <v>0</v>
      </c>
      <c r="F358" s="70"/>
      <c r="G358" s="101">
        <f t="shared" si="47"/>
        <v>0</v>
      </c>
      <c r="H358" s="47">
        <f t="shared" si="45"/>
        <v>0</v>
      </c>
      <c r="I358" s="101">
        <v>0</v>
      </c>
      <c r="J358" s="34">
        <v>0</v>
      </c>
    </row>
    <row r="359" spans="1:10" s="21" customFormat="1" x14ac:dyDescent="0.2">
      <c r="A359" s="144">
        <v>3699</v>
      </c>
      <c r="B359" s="183" t="s">
        <v>409</v>
      </c>
      <c r="C359" s="114">
        <f>SUM(C361:C362)</f>
        <v>750000</v>
      </c>
      <c r="D359" s="114">
        <f>SUM(D361:D362)</f>
        <v>741260</v>
      </c>
      <c r="E359" s="114">
        <v>741260</v>
      </c>
      <c r="F359" s="70">
        <f>SUM(E361:E362)</f>
        <v>741260</v>
      </c>
      <c r="G359" s="100">
        <f t="shared" si="47"/>
        <v>98.834666666666664</v>
      </c>
      <c r="H359" s="106">
        <f t="shared" si="45"/>
        <v>100</v>
      </c>
      <c r="I359" s="100">
        <f t="shared" si="46"/>
        <v>370.63</v>
      </c>
      <c r="J359" s="34">
        <v>200000</v>
      </c>
    </row>
    <row r="360" spans="1:10" s="21" customFormat="1" x14ac:dyDescent="0.2">
      <c r="A360" s="144"/>
      <c r="B360" s="186" t="s">
        <v>410</v>
      </c>
      <c r="C360" s="70">
        <f>SUM(C361)</f>
        <v>500000</v>
      </c>
      <c r="D360" s="70">
        <f>SUM(D361)</f>
        <v>491260</v>
      </c>
      <c r="E360" s="145">
        <v>491260</v>
      </c>
      <c r="F360" s="70"/>
      <c r="G360" s="101">
        <f t="shared" si="47"/>
        <v>98.251999999999995</v>
      </c>
      <c r="H360" s="47">
        <f t="shared" ref="H360:H423" si="49">E360/D360*100</f>
        <v>100</v>
      </c>
      <c r="I360" s="101">
        <v>0</v>
      </c>
      <c r="J360" s="34">
        <v>0</v>
      </c>
    </row>
    <row r="361" spans="1:10" s="21" customFormat="1" x14ac:dyDescent="0.2">
      <c r="A361" s="242" t="s">
        <v>411</v>
      </c>
      <c r="B361" s="211" t="s">
        <v>412</v>
      </c>
      <c r="C361" s="160">
        <v>500000</v>
      </c>
      <c r="D361" s="160">
        <f>500000-8740</f>
        <v>491260</v>
      </c>
      <c r="E361" s="262">
        <v>491260</v>
      </c>
      <c r="F361" s="262"/>
      <c r="G361" s="101">
        <f t="shared" si="47"/>
        <v>98.251999999999995</v>
      </c>
      <c r="H361" s="47">
        <f t="shared" si="49"/>
        <v>100</v>
      </c>
      <c r="I361" s="101">
        <v>0</v>
      </c>
      <c r="J361" s="34">
        <v>0</v>
      </c>
    </row>
    <row r="362" spans="1:10" s="21" customFormat="1" x14ac:dyDescent="0.2">
      <c r="A362" s="226" t="s">
        <v>413</v>
      </c>
      <c r="B362" s="237" t="s">
        <v>414</v>
      </c>
      <c r="C362" s="70">
        <v>250000</v>
      </c>
      <c r="D362" s="70">
        <v>250000</v>
      </c>
      <c r="E362" s="262">
        <v>250000</v>
      </c>
      <c r="F362" s="262"/>
      <c r="G362" s="101">
        <f t="shared" ref="G362:G424" si="50">E362/C362*100</f>
        <v>100</v>
      </c>
      <c r="H362" s="47">
        <f t="shared" si="49"/>
        <v>100</v>
      </c>
      <c r="I362" s="101">
        <f t="shared" ref="I362:I423" si="51">E362/J362*100</f>
        <v>125</v>
      </c>
      <c r="J362" s="34">
        <v>200000</v>
      </c>
    </row>
    <row r="363" spans="1:10" s="21" customFormat="1" ht="13.5" thickBot="1" x14ac:dyDescent="0.25">
      <c r="A363" s="252"/>
      <c r="B363" s="211"/>
      <c r="C363" s="160"/>
      <c r="D363" s="160"/>
      <c r="E363" s="192"/>
      <c r="F363" s="264"/>
      <c r="G363" s="192"/>
      <c r="H363" s="192"/>
      <c r="I363" s="192"/>
      <c r="J363" s="34"/>
    </row>
    <row r="364" spans="1:10" ht="21" customHeight="1" thickBot="1" x14ac:dyDescent="0.35">
      <c r="A364" s="265"/>
      <c r="B364" s="82" t="s">
        <v>24</v>
      </c>
      <c r="C364" s="266">
        <f>C365+C374+C431+C438+C447+C453+C456+C474+C499</f>
        <v>107920000</v>
      </c>
      <c r="D364" s="266">
        <f>D365+D374+D431+D438+D447+D453+D456+D474+D499</f>
        <v>152257285.88999999</v>
      </c>
      <c r="E364" s="195">
        <v>131937077.78</v>
      </c>
      <c r="F364" s="196">
        <f>SUM(E365,E374,E431,E438,E447,E453,E456,E474,E499)</f>
        <v>131937077.78</v>
      </c>
      <c r="G364" s="195">
        <f t="shared" si="50"/>
        <v>122.25451981097109</v>
      </c>
      <c r="H364" s="195">
        <f t="shared" si="49"/>
        <v>86.654032356336259</v>
      </c>
      <c r="I364" s="195">
        <f t="shared" si="51"/>
        <v>225.30404349661902</v>
      </c>
      <c r="J364" s="34">
        <v>58559569.43</v>
      </c>
    </row>
    <row r="365" spans="1:10" s="21" customFormat="1" ht="16.5" thickBot="1" x14ac:dyDescent="0.3">
      <c r="A365" s="267"/>
      <c r="B365" s="268" t="s">
        <v>415</v>
      </c>
      <c r="C365" s="128">
        <f>SUM(C366+C369)</f>
        <v>3440000</v>
      </c>
      <c r="D365" s="128">
        <f>SUM(D366+D369)</f>
        <v>2840000</v>
      </c>
      <c r="E365" s="128">
        <v>2251879</v>
      </c>
      <c r="F365" s="196">
        <f>SUM(E366,E369)</f>
        <v>2251879</v>
      </c>
      <c r="G365" s="89">
        <f t="shared" si="50"/>
        <v>65.461598837209294</v>
      </c>
      <c r="H365" s="89">
        <f t="shared" si="49"/>
        <v>79.291514084507043</v>
      </c>
      <c r="I365" s="89">
        <f t="shared" si="51"/>
        <v>64.802655670342801</v>
      </c>
      <c r="J365" s="34">
        <v>3474979.5</v>
      </c>
    </row>
    <row r="366" spans="1:10" s="21" customFormat="1" x14ac:dyDescent="0.2">
      <c r="A366" s="269">
        <v>2310</v>
      </c>
      <c r="B366" s="225" t="s">
        <v>262</v>
      </c>
      <c r="C366" s="131">
        <f>SUM(C367:C368)</f>
        <v>2010000</v>
      </c>
      <c r="D366" s="131">
        <f>SUM(D367:D368)</f>
        <v>2452000</v>
      </c>
      <c r="E366" s="131">
        <v>2212519</v>
      </c>
      <c r="F366" s="176">
        <f>SUM(E367:E368)</f>
        <v>2212519</v>
      </c>
      <c r="G366" s="100">
        <f t="shared" si="50"/>
        <v>110.07557213930347</v>
      </c>
      <c r="H366" s="106">
        <f t="shared" si="49"/>
        <v>90.233238172920068</v>
      </c>
      <c r="I366" s="100">
        <f t="shared" si="51"/>
        <v>66.979243878187518</v>
      </c>
      <c r="J366" s="34">
        <v>3303290.5</v>
      </c>
    </row>
    <row r="367" spans="1:10" s="21" customFormat="1" x14ac:dyDescent="0.2">
      <c r="A367" s="234" t="s">
        <v>416</v>
      </c>
      <c r="B367" s="111" t="s">
        <v>417</v>
      </c>
      <c r="C367" s="70">
        <v>10000</v>
      </c>
      <c r="D367" s="70">
        <v>10000</v>
      </c>
      <c r="E367" s="70">
        <v>0</v>
      </c>
      <c r="F367" s="70"/>
      <c r="G367" s="101">
        <f t="shared" si="50"/>
        <v>0</v>
      </c>
      <c r="H367" s="47">
        <f t="shared" si="49"/>
        <v>0</v>
      </c>
      <c r="I367" s="101">
        <v>0</v>
      </c>
      <c r="J367" s="34">
        <v>199250</v>
      </c>
    </row>
    <row r="368" spans="1:10" s="21" customFormat="1" x14ac:dyDescent="0.2">
      <c r="A368" s="234" t="s">
        <v>418</v>
      </c>
      <c r="B368" s="270" t="s">
        <v>419</v>
      </c>
      <c r="C368" s="47">
        <v>2000000</v>
      </c>
      <c r="D368" s="47">
        <f>2000000+142000+300000</f>
        <v>2442000</v>
      </c>
      <c r="E368" s="70">
        <v>2212519</v>
      </c>
      <c r="F368" s="70"/>
      <c r="G368" s="101">
        <f t="shared" si="50"/>
        <v>110.62594999999999</v>
      </c>
      <c r="H368" s="47">
        <f t="shared" si="49"/>
        <v>90.602743652743655</v>
      </c>
      <c r="I368" s="101">
        <v>0</v>
      </c>
      <c r="J368" s="34">
        <v>0</v>
      </c>
    </row>
    <row r="369" spans="1:10" s="21" customFormat="1" x14ac:dyDescent="0.2">
      <c r="A369" s="97">
        <v>2321</v>
      </c>
      <c r="B369" s="93" t="s">
        <v>269</v>
      </c>
      <c r="C369" s="106">
        <f>SUM(C370:C373)</f>
        <v>1430000</v>
      </c>
      <c r="D369" s="106">
        <f>SUM(D370:D373)</f>
        <v>388000</v>
      </c>
      <c r="E369" s="103">
        <v>39360</v>
      </c>
      <c r="F369" s="104">
        <f>SUM(E370:E373)</f>
        <v>39360</v>
      </c>
      <c r="G369" s="100">
        <f t="shared" si="50"/>
        <v>2.7524475524475527</v>
      </c>
      <c r="H369" s="106">
        <f t="shared" si="49"/>
        <v>10.144329896907218</v>
      </c>
      <c r="I369" s="100">
        <f t="shared" si="51"/>
        <v>22.925172841591483</v>
      </c>
      <c r="J369" s="34">
        <v>171689</v>
      </c>
    </row>
    <row r="370" spans="1:10" s="21" customFormat="1" x14ac:dyDescent="0.2">
      <c r="A370" s="234" t="s">
        <v>420</v>
      </c>
      <c r="B370" s="270" t="s">
        <v>421</v>
      </c>
      <c r="C370" s="47">
        <v>1200000</v>
      </c>
      <c r="D370" s="47">
        <f>1200000-138000-20000-142000-500000-400000</f>
        <v>0</v>
      </c>
      <c r="E370" s="104">
        <v>0</v>
      </c>
      <c r="F370" s="104"/>
      <c r="G370" s="101">
        <f t="shared" si="50"/>
        <v>0</v>
      </c>
      <c r="H370" s="47">
        <v>0</v>
      </c>
      <c r="I370" s="101">
        <v>0</v>
      </c>
      <c r="J370" s="34">
        <v>109989</v>
      </c>
    </row>
    <row r="371" spans="1:10" s="21" customFormat="1" x14ac:dyDescent="0.2">
      <c r="A371" s="234" t="s">
        <v>422</v>
      </c>
      <c r="B371" s="270" t="s">
        <v>423</v>
      </c>
      <c r="C371" s="47">
        <v>60000</v>
      </c>
      <c r="D371" s="47">
        <v>60000</v>
      </c>
      <c r="E371" s="70">
        <v>19200</v>
      </c>
      <c r="F371" s="70"/>
      <c r="G371" s="101">
        <f t="shared" si="50"/>
        <v>32</v>
      </c>
      <c r="H371" s="47">
        <f t="shared" si="49"/>
        <v>32</v>
      </c>
      <c r="I371" s="101">
        <f t="shared" si="51"/>
        <v>64.429530201342274</v>
      </c>
      <c r="J371" s="34">
        <v>29800</v>
      </c>
    </row>
    <row r="372" spans="1:10" s="21" customFormat="1" x14ac:dyDescent="0.2">
      <c r="A372" s="234" t="s">
        <v>424</v>
      </c>
      <c r="B372" s="270" t="s">
        <v>425</v>
      </c>
      <c r="C372" s="47">
        <v>150000</v>
      </c>
      <c r="D372" s="47">
        <f>150000+138000+20000</f>
        <v>308000</v>
      </c>
      <c r="E372" s="70">
        <v>20160</v>
      </c>
      <c r="F372" s="70"/>
      <c r="G372" s="101">
        <f t="shared" si="50"/>
        <v>13.44</v>
      </c>
      <c r="H372" s="47">
        <f t="shared" si="49"/>
        <v>6.5454545454545459</v>
      </c>
      <c r="I372" s="101">
        <f t="shared" si="51"/>
        <v>63.197492163009407</v>
      </c>
      <c r="J372" s="34">
        <v>31900</v>
      </c>
    </row>
    <row r="373" spans="1:10" s="21" customFormat="1" ht="13.5" thickBot="1" x14ac:dyDescent="0.25">
      <c r="A373" s="271" t="s">
        <v>426</v>
      </c>
      <c r="B373" s="272" t="s">
        <v>427</v>
      </c>
      <c r="C373" s="160">
        <v>20000</v>
      </c>
      <c r="D373" s="160">
        <v>20000</v>
      </c>
      <c r="E373" s="125">
        <v>0</v>
      </c>
      <c r="F373" s="125"/>
      <c r="G373" s="101">
        <f t="shared" si="50"/>
        <v>0</v>
      </c>
      <c r="H373" s="47">
        <f t="shared" si="49"/>
        <v>0</v>
      </c>
      <c r="I373" s="101">
        <v>0</v>
      </c>
      <c r="J373" s="34">
        <v>0</v>
      </c>
    </row>
    <row r="374" spans="1:10" ht="16.5" thickBot="1" x14ac:dyDescent="0.3">
      <c r="A374" s="273"/>
      <c r="B374" s="274" t="s">
        <v>428</v>
      </c>
      <c r="C374" s="128">
        <f>SUM(C375+C389+C426)</f>
        <v>61420000</v>
      </c>
      <c r="D374" s="128">
        <f>SUM(D375+D389+D426)</f>
        <v>61338400</v>
      </c>
      <c r="E374" s="128">
        <v>51331600.729999997</v>
      </c>
      <c r="F374" s="196">
        <f>SUM(E375,E389,E426)</f>
        <v>51331600.729999997</v>
      </c>
      <c r="G374" s="89">
        <f t="shared" si="50"/>
        <v>83.574732546401819</v>
      </c>
      <c r="H374" s="89">
        <f t="shared" si="49"/>
        <v>83.685914092966229</v>
      </c>
      <c r="I374" s="89">
        <f t="shared" si="51"/>
        <v>161.09400471802854</v>
      </c>
      <c r="J374" s="34">
        <v>31864376.84</v>
      </c>
    </row>
    <row r="375" spans="1:10" x14ac:dyDescent="0.2">
      <c r="A375" s="269">
        <v>2212</v>
      </c>
      <c r="B375" s="275" t="s">
        <v>429</v>
      </c>
      <c r="C375" s="131">
        <f>SUM(C376:C388)</f>
        <v>26660000</v>
      </c>
      <c r="D375" s="131">
        <f>SUM(D376:D388)</f>
        <v>30660000</v>
      </c>
      <c r="E375" s="276">
        <v>29012618.75</v>
      </c>
      <c r="F375" s="277">
        <f>SUM(E376:E388)</f>
        <v>29012618.75</v>
      </c>
      <c r="G375" s="100">
        <f t="shared" si="50"/>
        <v>108.82452644411103</v>
      </c>
      <c r="H375" s="106">
        <f t="shared" si="49"/>
        <v>94.626936562296152</v>
      </c>
      <c r="I375" s="100">
        <f t="shared" si="51"/>
        <v>251.53343408819077</v>
      </c>
      <c r="J375" s="34">
        <v>11534299.15</v>
      </c>
    </row>
    <row r="376" spans="1:10" x14ac:dyDescent="0.2">
      <c r="A376" s="234" t="s">
        <v>292</v>
      </c>
      <c r="B376" s="235" t="s">
        <v>430</v>
      </c>
      <c r="C376" s="70">
        <v>200000</v>
      </c>
      <c r="D376" s="70">
        <f>200000-12000</f>
        <v>188000</v>
      </c>
      <c r="E376" s="33">
        <v>93387.8</v>
      </c>
      <c r="F376" s="18"/>
      <c r="G376" s="101">
        <f t="shared" si="50"/>
        <v>46.693899999999999</v>
      </c>
      <c r="H376" s="47">
        <f t="shared" si="49"/>
        <v>49.674361702127662</v>
      </c>
      <c r="I376" s="101">
        <f t="shared" si="51"/>
        <v>71.897052143720515</v>
      </c>
      <c r="J376" s="34">
        <v>129891</v>
      </c>
    </row>
    <row r="377" spans="1:10" x14ac:dyDescent="0.2">
      <c r="A377" s="234" t="s">
        <v>290</v>
      </c>
      <c r="B377" s="235" t="s">
        <v>431</v>
      </c>
      <c r="C377" s="70">
        <f>5000000</f>
        <v>5000000</v>
      </c>
      <c r="D377" s="70">
        <f>5000000-400000-150000-380000-1310000</f>
        <v>2760000</v>
      </c>
      <c r="E377" s="18">
        <v>2052996.05</v>
      </c>
      <c r="F377" s="18"/>
      <c r="G377" s="101">
        <f t="shared" si="50"/>
        <v>41.059921000000003</v>
      </c>
      <c r="H377" s="47">
        <f t="shared" si="49"/>
        <v>74.383914855072462</v>
      </c>
      <c r="I377" s="101">
        <f t="shared" si="51"/>
        <v>34.985687707641652</v>
      </c>
      <c r="J377" s="34">
        <v>5868102.5999999996</v>
      </c>
    </row>
    <row r="378" spans="1:10" x14ac:dyDescent="0.2">
      <c r="A378" s="278" t="s">
        <v>432</v>
      </c>
      <c r="B378" s="279" t="s">
        <v>433</v>
      </c>
      <c r="C378" s="47">
        <v>8000000</v>
      </c>
      <c r="D378" s="47">
        <f>8000000+4500000+350000+380000</f>
        <v>13230000</v>
      </c>
      <c r="E378" s="108">
        <v>13214507.710000001</v>
      </c>
      <c r="F378" s="108"/>
      <c r="G378" s="101">
        <f t="shared" si="50"/>
        <v>165.181346375</v>
      </c>
      <c r="H378" s="47">
        <f t="shared" si="49"/>
        <v>99.882900302343174</v>
      </c>
      <c r="I378" s="101">
        <f t="shared" si="51"/>
        <v>652.4601765736079</v>
      </c>
      <c r="J378" s="34">
        <v>2025335.52</v>
      </c>
    </row>
    <row r="379" spans="1:10" x14ac:dyDescent="0.2">
      <c r="A379" s="234" t="s">
        <v>434</v>
      </c>
      <c r="B379" s="235" t="s">
        <v>435</v>
      </c>
      <c r="C379" s="70">
        <v>3000000</v>
      </c>
      <c r="D379" s="70">
        <f>3000000+400000+165000</f>
        <v>3565000</v>
      </c>
      <c r="E379" s="236">
        <v>3563034</v>
      </c>
      <c r="F379" s="236"/>
      <c r="G379" s="101">
        <f t="shared" si="50"/>
        <v>118.76779999999999</v>
      </c>
      <c r="H379" s="47">
        <f t="shared" si="49"/>
        <v>99.944852734922861</v>
      </c>
      <c r="I379" s="101">
        <v>0</v>
      </c>
      <c r="J379" s="34">
        <v>0</v>
      </c>
    </row>
    <row r="380" spans="1:10" x14ac:dyDescent="0.2">
      <c r="A380" s="234" t="s">
        <v>436</v>
      </c>
      <c r="B380" s="241" t="s">
        <v>437</v>
      </c>
      <c r="C380" s="70">
        <v>10000</v>
      </c>
      <c r="D380" s="70">
        <v>10000</v>
      </c>
      <c r="E380" s="280">
        <v>0</v>
      </c>
      <c r="F380" s="280"/>
      <c r="G380" s="101">
        <f t="shared" si="50"/>
        <v>0</v>
      </c>
      <c r="H380" s="47">
        <f t="shared" si="49"/>
        <v>0</v>
      </c>
      <c r="I380" s="101">
        <v>0</v>
      </c>
      <c r="J380" s="34">
        <v>0</v>
      </c>
    </row>
    <row r="381" spans="1:10" x14ac:dyDescent="0.2">
      <c r="A381" s="234" t="s">
        <v>438</v>
      </c>
      <c r="B381" s="279" t="s">
        <v>439</v>
      </c>
      <c r="C381" s="47">
        <v>1800000</v>
      </c>
      <c r="D381" s="47">
        <f>1800000+150000+1310000</f>
        <v>3260000</v>
      </c>
      <c r="E381" s="280">
        <v>3256880.01</v>
      </c>
      <c r="F381" s="280"/>
      <c r="G381" s="101">
        <f t="shared" si="50"/>
        <v>180.93777833333331</v>
      </c>
      <c r="H381" s="47">
        <f t="shared" si="49"/>
        <v>99.904294785276065</v>
      </c>
      <c r="I381" s="101">
        <v>0</v>
      </c>
      <c r="J381" s="34">
        <v>2500</v>
      </c>
    </row>
    <row r="382" spans="1:10" x14ac:dyDescent="0.2">
      <c r="A382" s="234" t="s">
        <v>285</v>
      </c>
      <c r="B382" s="235" t="s">
        <v>440</v>
      </c>
      <c r="C382" s="70">
        <v>700000</v>
      </c>
      <c r="D382" s="70">
        <f>700000-200000-150000-350000</f>
        <v>0</v>
      </c>
      <c r="E382" s="236">
        <v>0</v>
      </c>
      <c r="F382" s="236"/>
      <c r="G382" s="101">
        <f t="shared" si="50"/>
        <v>0</v>
      </c>
      <c r="H382" s="47">
        <v>0</v>
      </c>
      <c r="I382" s="101">
        <v>0</v>
      </c>
      <c r="J382" s="34">
        <v>0</v>
      </c>
    </row>
    <row r="383" spans="1:10" x14ac:dyDescent="0.2">
      <c r="A383" s="234" t="s">
        <v>441</v>
      </c>
      <c r="B383" s="279" t="s">
        <v>442</v>
      </c>
      <c r="C383" s="70">
        <v>1350000</v>
      </c>
      <c r="D383" s="70">
        <f>1350000-500000</f>
        <v>850000</v>
      </c>
      <c r="E383" s="236">
        <v>786500</v>
      </c>
      <c r="F383" s="236"/>
      <c r="G383" s="101">
        <f t="shared" si="50"/>
        <v>58.259259259259252</v>
      </c>
      <c r="H383" s="47">
        <f t="shared" si="49"/>
        <v>92.529411764705884</v>
      </c>
      <c r="I383" s="101">
        <f t="shared" si="51"/>
        <v>19662.5</v>
      </c>
      <c r="J383" s="34">
        <v>4000</v>
      </c>
    </row>
    <row r="384" spans="1:10" x14ac:dyDescent="0.2">
      <c r="A384" s="278" t="s">
        <v>443</v>
      </c>
      <c r="B384" s="235" t="s">
        <v>444</v>
      </c>
      <c r="C384" s="70">
        <v>700000</v>
      </c>
      <c r="D384" s="70">
        <f>700000-700000</f>
        <v>0</v>
      </c>
      <c r="E384" s="236">
        <v>0</v>
      </c>
      <c r="F384" s="236"/>
      <c r="G384" s="101">
        <f t="shared" si="50"/>
        <v>0</v>
      </c>
      <c r="H384" s="47">
        <v>0</v>
      </c>
      <c r="I384" s="101">
        <v>0</v>
      </c>
      <c r="J384" s="34">
        <v>0</v>
      </c>
    </row>
    <row r="385" spans="1:10" x14ac:dyDescent="0.2">
      <c r="A385" s="234" t="s">
        <v>445</v>
      </c>
      <c r="B385" s="279" t="s">
        <v>446</v>
      </c>
      <c r="C385" s="70">
        <v>5000000</v>
      </c>
      <c r="D385" s="70">
        <f>5000000+900000</f>
        <v>5900000</v>
      </c>
      <c r="E385" s="236">
        <v>5470908.7000000002</v>
      </c>
      <c r="F385" s="236"/>
      <c r="G385" s="101">
        <f t="shared" si="50"/>
        <v>109.41817400000001</v>
      </c>
      <c r="H385" s="47">
        <f t="shared" si="49"/>
        <v>92.727266101694923</v>
      </c>
      <c r="I385" s="101">
        <f t="shared" si="51"/>
        <v>12918.320425029518</v>
      </c>
      <c r="J385" s="34">
        <v>42350</v>
      </c>
    </row>
    <row r="386" spans="1:10" x14ac:dyDescent="0.2">
      <c r="A386" s="234" t="s">
        <v>447</v>
      </c>
      <c r="B386" s="235" t="s">
        <v>448</v>
      </c>
      <c r="C386" s="70">
        <v>100000</v>
      </c>
      <c r="D386" s="70">
        <f>100000+150000</f>
        <v>250000</v>
      </c>
      <c r="E386" s="70">
        <v>242280.5</v>
      </c>
      <c r="F386" s="70"/>
      <c r="G386" s="101">
        <f t="shared" si="50"/>
        <v>242.28049999999999</v>
      </c>
      <c r="H386" s="47">
        <f t="shared" si="49"/>
        <v>96.912199999999999</v>
      </c>
      <c r="I386" s="101">
        <v>0</v>
      </c>
      <c r="J386" s="34">
        <v>0</v>
      </c>
    </row>
    <row r="387" spans="1:10" x14ac:dyDescent="0.2">
      <c r="A387" s="278" t="s">
        <v>449</v>
      </c>
      <c r="B387" s="235" t="s">
        <v>450</v>
      </c>
      <c r="C387" s="70">
        <v>400000</v>
      </c>
      <c r="D387" s="70">
        <f>400000+12000-165000</f>
        <v>247000</v>
      </c>
      <c r="E387" s="70">
        <v>204490</v>
      </c>
      <c r="F387" s="70"/>
      <c r="G387" s="101">
        <f t="shared" si="50"/>
        <v>51.122500000000002</v>
      </c>
      <c r="H387" s="47">
        <f t="shared" si="49"/>
        <v>82.78947368421052</v>
      </c>
      <c r="I387" s="101">
        <f t="shared" si="51"/>
        <v>3718</v>
      </c>
      <c r="J387" s="34">
        <v>5500</v>
      </c>
    </row>
    <row r="388" spans="1:10" x14ac:dyDescent="0.2">
      <c r="A388" s="234" t="s">
        <v>451</v>
      </c>
      <c r="B388" s="235" t="s">
        <v>452</v>
      </c>
      <c r="C388" s="70">
        <v>400000</v>
      </c>
      <c r="D388" s="70">
        <v>400000</v>
      </c>
      <c r="E388" s="281">
        <v>127633.98</v>
      </c>
      <c r="F388" s="125"/>
      <c r="G388" s="101">
        <f t="shared" si="50"/>
        <v>31.908494999999998</v>
      </c>
      <c r="H388" s="47">
        <f t="shared" si="49"/>
        <v>31.908494999999998</v>
      </c>
      <c r="I388" s="101">
        <f t="shared" si="51"/>
        <v>633.41925558312653</v>
      </c>
      <c r="J388" s="34">
        <v>20150</v>
      </c>
    </row>
    <row r="389" spans="1:10" x14ac:dyDescent="0.2">
      <c r="A389" s="92">
        <v>2219</v>
      </c>
      <c r="B389" s="282" t="s">
        <v>294</v>
      </c>
      <c r="C389" s="114">
        <f>SUM(C390:C425)</f>
        <v>32750000</v>
      </c>
      <c r="D389" s="114">
        <f>SUM(D390:D425)</f>
        <v>27868400</v>
      </c>
      <c r="E389" s="114">
        <v>20016890.649999999</v>
      </c>
      <c r="F389" s="70">
        <f>SUM(E390:E425)</f>
        <v>20016890.649999999</v>
      </c>
      <c r="G389" s="100">
        <f t="shared" si="50"/>
        <v>61.120276793893126</v>
      </c>
      <c r="H389" s="106">
        <f t="shared" si="49"/>
        <v>71.826479632845803</v>
      </c>
      <c r="I389" s="100">
        <f t="shared" si="51"/>
        <v>98.459489212114264</v>
      </c>
      <c r="J389" s="34">
        <v>20330077.690000001</v>
      </c>
    </row>
    <row r="390" spans="1:10" x14ac:dyDescent="0.2">
      <c r="A390" s="271" t="s">
        <v>309</v>
      </c>
      <c r="B390" s="155" t="s">
        <v>453</v>
      </c>
      <c r="C390" s="160">
        <v>200000</v>
      </c>
      <c r="D390" s="160">
        <f>200000-200000</f>
        <v>0</v>
      </c>
      <c r="E390" s="283">
        <v>0</v>
      </c>
      <c r="F390" s="47"/>
      <c r="G390" s="101">
        <f t="shared" si="50"/>
        <v>0</v>
      </c>
      <c r="H390" s="47">
        <v>0</v>
      </c>
      <c r="I390" s="101">
        <f t="shared" si="51"/>
        <v>0</v>
      </c>
      <c r="J390" s="34">
        <v>35094</v>
      </c>
    </row>
    <row r="391" spans="1:10" x14ac:dyDescent="0.2">
      <c r="A391" s="234" t="s">
        <v>311</v>
      </c>
      <c r="B391" s="235" t="s">
        <v>454</v>
      </c>
      <c r="C391" s="70">
        <f>3000000-1500000</f>
        <v>1500000</v>
      </c>
      <c r="D391" s="70">
        <f>3000000-1500000-800000-100000+(-300000-300000)</f>
        <v>0</v>
      </c>
      <c r="E391" s="70">
        <v>0</v>
      </c>
      <c r="F391" s="70"/>
      <c r="G391" s="101">
        <f t="shared" si="50"/>
        <v>0</v>
      </c>
      <c r="H391" s="47">
        <v>0</v>
      </c>
      <c r="I391" s="101">
        <f t="shared" si="51"/>
        <v>0</v>
      </c>
      <c r="J391" s="34">
        <v>1063428.31</v>
      </c>
    </row>
    <row r="392" spans="1:10" x14ac:dyDescent="0.2">
      <c r="A392" s="234" t="s">
        <v>455</v>
      </c>
      <c r="B392" s="235" t="s">
        <v>456</v>
      </c>
      <c r="C392" s="70">
        <v>200000</v>
      </c>
      <c r="D392" s="70">
        <v>200000</v>
      </c>
      <c r="E392" s="70">
        <v>0</v>
      </c>
      <c r="F392" s="70"/>
      <c r="G392" s="101">
        <f t="shared" si="50"/>
        <v>0</v>
      </c>
      <c r="H392" s="47">
        <f t="shared" si="49"/>
        <v>0</v>
      </c>
      <c r="I392" s="101">
        <v>0</v>
      </c>
      <c r="J392" s="34">
        <v>0</v>
      </c>
    </row>
    <row r="393" spans="1:10" x14ac:dyDescent="0.2">
      <c r="A393" s="234" t="s">
        <v>457</v>
      </c>
      <c r="B393" s="279" t="s">
        <v>458</v>
      </c>
      <c r="C393" s="70">
        <f>3000000-1000000</f>
        <v>2000000</v>
      </c>
      <c r="D393" s="70">
        <f>3000000-1000000-54450-500000</f>
        <v>1445550</v>
      </c>
      <c r="E393" s="70">
        <v>48500</v>
      </c>
      <c r="F393" s="70"/>
      <c r="G393" s="101">
        <f t="shared" si="50"/>
        <v>2.4250000000000003</v>
      </c>
      <c r="H393" s="47">
        <f t="shared" si="49"/>
        <v>3.3551243471343084</v>
      </c>
      <c r="I393" s="101">
        <f t="shared" si="51"/>
        <v>34.584261522620238</v>
      </c>
      <c r="J393" s="34">
        <v>140237.20000000001</v>
      </c>
    </row>
    <row r="394" spans="1:10" x14ac:dyDescent="0.2">
      <c r="A394" s="234" t="s">
        <v>298</v>
      </c>
      <c r="B394" s="241" t="s">
        <v>459</v>
      </c>
      <c r="C394" s="70">
        <v>700000</v>
      </c>
      <c r="D394" s="70">
        <f>700000-700000</f>
        <v>0</v>
      </c>
      <c r="E394" s="70">
        <v>0</v>
      </c>
      <c r="F394" s="70"/>
      <c r="G394" s="101">
        <f t="shared" si="50"/>
        <v>0</v>
      </c>
      <c r="H394" s="47">
        <v>0</v>
      </c>
      <c r="I394" s="101">
        <v>0</v>
      </c>
      <c r="J394" s="34">
        <v>0</v>
      </c>
    </row>
    <row r="395" spans="1:10" x14ac:dyDescent="0.2">
      <c r="A395" s="234" t="s">
        <v>460</v>
      </c>
      <c r="B395" s="241" t="s">
        <v>461</v>
      </c>
      <c r="C395" s="70">
        <v>0</v>
      </c>
      <c r="D395" s="70">
        <v>133705</v>
      </c>
      <c r="E395" s="70">
        <v>133705</v>
      </c>
      <c r="F395" s="70"/>
      <c r="G395" s="101">
        <v>0</v>
      </c>
      <c r="H395" s="47">
        <f t="shared" si="49"/>
        <v>100</v>
      </c>
      <c r="I395" s="101">
        <v>0</v>
      </c>
      <c r="J395" s="34">
        <v>0</v>
      </c>
    </row>
    <row r="396" spans="1:10" x14ac:dyDescent="0.2">
      <c r="A396" s="234" t="s">
        <v>462</v>
      </c>
      <c r="B396" s="241" t="s">
        <v>463</v>
      </c>
      <c r="C396" s="70">
        <v>2800000</v>
      </c>
      <c r="D396" s="70">
        <f>2800000+1600000-130000</f>
        <v>4270000</v>
      </c>
      <c r="E396" s="70">
        <v>4118798.54</v>
      </c>
      <c r="F396" s="70"/>
      <c r="G396" s="101">
        <f t="shared" si="50"/>
        <v>147.09994785714287</v>
      </c>
      <c r="H396" s="47">
        <f t="shared" si="49"/>
        <v>96.458982201405149</v>
      </c>
      <c r="I396" s="101">
        <v>0</v>
      </c>
      <c r="J396" s="34">
        <v>0</v>
      </c>
    </row>
    <row r="397" spans="1:10" x14ac:dyDescent="0.2">
      <c r="A397" s="234" t="s">
        <v>464</v>
      </c>
      <c r="B397" s="235" t="s">
        <v>465</v>
      </c>
      <c r="C397" s="70">
        <v>2000000</v>
      </c>
      <c r="D397" s="70">
        <f>2000000+2000000</f>
        <v>4000000</v>
      </c>
      <c r="E397" s="70">
        <v>1820496.02</v>
      </c>
      <c r="F397" s="70"/>
      <c r="G397" s="101">
        <f t="shared" si="50"/>
        <v>91.024800999999997</v>
      </c>
      <c r="H397" s="47">
        <f t="shared" si="49"/>
        <v>45.512400499999998</v>
      </c>
      <c r="I397" s="101">
        <v>0</v>
      </c>
      <c r="J397" s="34">
        <v>0</v>
      </c>
    </row>
    <row r="398" spans="1:10" x14ac:dyDescent="0.2">
      <c r="A398" s="234" t="s">
        <v>466</v>
      </c>
      <c r="B398" s="241" t="s">
        <v>467</v>
      </c>
      <c r="C398" s="70">
        <v>6000000</v>
      </c>
      <c r="D398" s="70">
        <f>6000000+800000+100000+130000</f>
        <v>7030000</v>
      </c>
      <c r="E398" s="70">
        <v>7025716.0999999996</v>
      </c>
      <c r="F398" s="70"/>
      <c r="G398" s="101">
        <f t="shared" si="50"/>
        <v>117.09526833333332</v>
      </c>
      <c r="H398" s="47">
        <f t="shared" si="49"/>
        <v>99.93906258890469</v>
      </c>
      <c r="I398" s="101">
        <v>0</v>
      </c>
      <c r="J398" s="34">
        <v>0</v>
      </c>
    </row>
    <row r="399" spans="1:10" x14ac:dyDescent="0.2">
      <c r="A399" s="234" t="s">
        <v>468</v>
      </c>
      <c r="B399" s="241" t="s">
        <v>469</v>
      </c>
      <c r="C399" s="70">
        <v>150000</v>
      </c>
      <c r="D399" s="70">
        <v>150000</v>
      </c>
      <c r="E399" s="70">
        <v>72600</v>
      </c>
      <c r="F399" s="70"/>
      <c r="G399" s="101">
        <f t="shared" si="50"/>
        <v>48.4</v>
      </c>
      <c r="H399" s="47">
        <f t="shared" si="49"/>
        <v>48.4</v>
      </c>
      <c r="I399" s="101">
        <v>0</v>
      </c>
      <c r="J399" s="34">
        <v>0</v>
      </c>
    </row>
    <row r="400" spans="1:10" x14ac:dyDescent="0.2">
      <c r="A400" s="278" t="s">
        <v>470</v>
      </c>
      <c r="B400" s="241" t="s">
        <v>471</v>
      </c>
      <c r="C400" s="47">
        <v>200000</v>
      </c>
      <c r="D400" s="47">
        <v>200000</v>
      </c>
      <c r="E400" s="70">
        <v>145200</v>
      </c>
      <c r="F400" s="70"/>
      <c r="G400" s="101">
        <f t="shared" si="50"/>
        <v>72.599999999999994</v>
      </c>
      <c r="H400" s="47">
        <f t="shared" si="49"/>
        <v>72.599999999999994</v>
      </c>
      <c r="I400" s="101">
        <v>0</v>
      </c>
      <c r="J400" s="34">
        <v>0</v>
      </c>
    </row>
    <row r="401" spans="1:10" x14ac:dyDescent="0.2">
      <c r="A401" s="234" t="s">
        <v>472</v>
      </c>
      <c r="B401" s="241" t="s">
        <v>473</v>
      </c>
      <c r="C401" s="70">
        <v>150000</v>
      </c>
      <c r="D401" s="70">
        <v>150000</v>
      </c>
      <c r="E401" s="70">
        <v>145200</v>
      </c>
      <c r="F401" s="70"/>
      <c r="G401" s="101">
        <f t="shared" si="50"/>
        <v>96.8</v>
      </c>
      <c r="H401" s="47">
        <f t="shared" si="49"/>
        <v>96.8</v>
      </c>
      <c r="I401" s="101">
        <f t="shared" si="51"/>
        <v>8.2821540041325559</v>
      </c>
      <c r="J401" s="34">
        <v>1753167.11</v>
      </c>
    </row>
    <row r="402" spans="1:10" x14ac:dyDescent="0.2">
      <c r="A402" s="284" t="s">
        <v>474</v>
      </c>
      <c r="B402" s="285" t="s">
        <v>475</v>
      </c>
      <c r="C402" s="70">
        <v>4200000</v>
      </c>
      <c r="D402" s="70">
        <f>4200000+848400</f>
        <v>5048400</v>
      </c>
      <c r="E402" s="70">
        <v>4079884.17</v>
      </c>
      <c r="F402" s="70"/>
      <c r="G402" s="101">
        <f t="shared" si="50"/>
        <v>97.140099285714285</v>
      </c>
      <c r="H402" s="47">
        <f t="shared" si="49"/>
        <v>80.815390420727368</v>
      </c>
      <c r="I402" s="101">
        <f t="shared" si="51"/>
        <v>907.12674343370554</v>
      </c>
      <c r="J402" s="34">
        <v>449759</v>
      </c>
    </row>
    <row r="403" spans="1:10" x14ac:dyDescent="0.2">
      <c r="A403" s="234" t="s">
        <v>476</v>
      </c>
      <c r="B403" s="241" t="s">
        <v>477</v>
      </c>
      <c r="C403" s="70">
        <v>150000</v>
      </c>
      <c r="D403" s="70">
        <v>150000</v>
      </c>
      <c r="E403" s="70">
        <v>78986</v>
      </c>
      <c r="F403" s="70"/>
      <c r="G403" s="101">
        <f t="shared" si="50"/>
        <v>52.657333333333334</v>
      </c>
      <c r="H403" s="47">
        <f t="shared" si="49"/>
        <v>52.657333333333334</v>
      </c>
      <c r="I403" s="101">
        <f t="shared" si="51"/>
        <v>159.61604526624228</v>
      </c>
      <c r="J403" s="34">
        <v>49485</v>
      </c>
    </row>
    <row r="404" spans="1:10" x14ac:dyDescent="0.2">
      <c r="A404" s="234" t="s">
        <v>478</v>
      </c>
      <c r="B404" s="286" t="s">
        <v>479</v>
      </c>
      <c r="C404" s="70">
        <v>1500000</v>
      </c>
      <c r="D404" s="70">
        <f>1500000-1000000-96000</f>
        <v>404000</v>
      </c>
      <c r="E404" s="70">
        <v>199635</v>
      </c>
      <c r="F404" s="70"/>
      <c r="G404" s="101">
        <f t="shared" si="50"/>
        <v>13.309000000000001</v>
      </c>
      <c r="H404" s="47">
        <f t="shared" si="49"/>
        <v>49.414603960396043</v>
      </c>
      <c r="I404" s="101">
        <f t="shared" si="51"/>
        <v>138.12989960353428</v>
      </c>
      <c r="J404" s="34">
        <v>144527</v>
      </c>
    </row>
    <row r="405" spans="1:10" x14ac:dyDescent="0.2">
      <c r="A405" s="287" t="s">
        <v>480</v>
      </c>
      <c r="B405" s="285" t="s">
        <v>481</v>
      </c>
      <c r="C405" s="160">
        <v>20000</v>
      </c>
      <c r="D405" s="160">
        <f>20000+1236</f>
        <v>21236</v>
      </c>
      <c r="E405" s="70">
        <v>21236</v>
      </c>
      <c r="F405" s="70"/>
      <c r="G405" s="101">
        <f t="shared" si="50"/>
        <v>106.18</v>
      </c>
      <c r="H405" s="47">
        <f t="shared" si="49"/>
        <v>100</v>
      </c>
      <c r="I405" s="101">
        <f t="shared" si="51"/>
        <v>24.46741096632217</v>
      </c>
      <c r="J405" s="34">
        <v>86793</v>
      </c>
    </row>
    <row r="406" spans="1:10" x14ac:dyDescent="0.2">
      <c r="A406" s="234" t="s">
        <v>300</v>
      </c>
      <c r="B406" s="241" t="s">
        <v>482</v>
      </c>
      <c r="C406" s="70">
        <v>930000</v>
      </c>
      <c r="D406" s="70">
        <f>930000-930000</f>
        <v>0</v>
      </c>
      <c r="E406" s="70">
        <v>0</v>
      </c>
      <c r="F406" s="70"/>
      <c r="G406" s="101">
        <f t="shared" si="50"/>
        <v>0</v>
      </c>
      <c r="H406" s="47">
        <v>0</v>
      </c>
      <c r="I406" s="101">
        <v>0</v>
      </c>
      <c r="J406" s="34">
        <v>133410</v>
      </c>
    </row>
    <row r="407" spans="1:10" x14ac:dyDescent="0.2">
      <c r="A407" s="234" t="s">
        <v>483</v>
      </c>
      <c r="B407" s="152" t="s">
        <v>484</v>
      </c>
      <c r="C407" s="70">
        <v>100000</v>
      </c>
      <c r="D407" s="70">
        <f>100000+170+96000</f>
        <v>196170</v>
      </c>
      <c r="E407" s="70">
        <v>195478</v>
      </c>
      <c r="F407" s="70"/>
      <c r="G407" s="101">
        <f t="shared" si="50"/>
        <v>195.47800000000001</v>
      </c>
      <c r="H407" s="47">
        <f t="shared" si="49"/>
        <v>99.647244736707961</v>
      </c>
      <c r="I407" s="101">
        <f t="shared" si="51"/>
        <v>482.84055823144377</v>
      </c>
      <c r="J407" s="34">
        <v>40485</v>
      </c>
    </row>
    <row r="408" spans="1:10" x14ac:dyDescent="0.2">
      <c r="A408" s="234" t="s">
        <v>485</v>
      </c>
      <c r="B408" s="288" t="s">
        <v>486</v>
      </c>
      <c r="C408" s="70">
        <v>30000</v>
      </c>
      <c r="D408" s="70">
        <f>30000-170-1236</f>
        <v>28594</v>
      </c>
      <c r="E408" s="70">
        <v>25954</v>
      </c>
      <c r="F408" s="70"/>
      <c r="G408" s="101">
        <f t="shared" si="50"/>
        <v>86.513333333333335</v>
      </c>
      <c r="H408" s="47">
        <f t="shared" si="49"/>
        <v>90.767293837868081</v>
      </c>
      <c r="I408" s="101">
        <f t="shared" si="51"/>
        <v>24.466209783090282</v>
      </c>
      <c r="J408" s="34">
        <v>106081</v>
      </c>
    </row>
    <row r="409" spans="1:10" x14ac:dyDescent="0.2">
      <c r="A409" s="234" t="s">
        <v>487</v>
      </c>
      <c r="B409" s="241" t="s">
        <v>488</v>
      </c>
      <c r="C409" s="47">
        <v>200000</v>
      </c>
      <c r="D409" s="47">
        <v>200000</v>
      </c>
      <c r="E409" s="108">
        <v>108900</v>
      </c>
      <c r="F409" s="289"/>
      <c r="G409" s="101">
        <f t="shared" si="50"/>
        <v>54.449999999999996</v>
      </c>
      <c r="H409" s="47">
        <f t="shared" si="49"/>
        <v>54.449999999999996</v>
      </c>
      <c r="I409" s="101">
        <v>0</v>
      </c>
      <c r="J409" s="34">
        <v>0</v>
      </c>
    </row>
    <row r="410" spans="1:10" x14ac:dyDescent="0.2">
      <c r="A410" s="278" t="s">
        <v>489</v>
      </c>
      <c r="B410" s="241" t="s">
        <v>490</v>
      </c>
      <c r="C410" s="47">
        <v>300000</v>
      </c>
      <c r="D410" s="47">
        <v>300000</v>
      </c>
      <c r="E410" s="70">
        <v>108900</v>
      </c>
      <c r="F410" s="70"/>
      <c r="G410" s="101">
        <f t="shared" si="50"/>
        <v>36.299999999999997</v>
      </c>
      <c r="H410" s="47">
        <f t="shared" si="49"/>
        <v>36.299999999999997</v>
      </c>
      <c r="I410" s="101">
        <v>0</v>
      </c>
      <c r="J410" s="34">
        <v>0</v>
      </c>
    </row>
    <row r="411" spans="1:10" x14ac:dyDescent="0.2">
      <c r="A411" s="278" t="s">
        <v>491</v>
      </c>
      <c r="B411" s="241" t="s">
        <v>492</v>
      </c>
      <c r="C411" s="47">
        <v>200000</v>
      </c>
      <c r="D411" s="47">
        <v>200000</v>
      </c>
      <c r="E411" s="70">
        <v>0</v>
      </c>
      <c r="F411" s="70"/>
      <c r="G411" s="101">
        <f t="shared" si="50"/>
        <v>0</v>
      </c>
      <c r="H411" s="47">
        <f t="shared" si="49"/>
        <v>0</v>
      </c>
      <c r="I411" s="101">
        <v>0</v>
      </c>
      <c r="J411" s="34">
        <v>0</v>
      </c>
    </row>
    <row r="412" spans="1:10" x14ac:dyDescent="0.2">
      <c r="A412" s="278" t="s">
        <v>493</v>
      </c>
      <c r="B412" s="241" t="s">
        <v>494</v>
      </c>
      <c r="C412" s="47">
        <v>350000</v>
      </c>
      <c r="D412" s="47">
        <f>350000-57770</f>
        <v>292230</v>
      </c>
      <c r="E412" s="70">
        <v>120000</v>
      </c>
      <c r="F412" s="70"/>
      <c r="G412" s="101">
        <f t="shared" si="50"/>
        <v>34.285714285714285</v>
      </c>
      <c r="H412" s="47">
        <f t="shared" si="49"/>
        <v>41.063545837183042</v>
      </c>
      <c r="I412" s="101">
        <v>0</v>
      </c>
      <c r="J412" s="34">
        <v>0</v>
      </c>
    </row>
    <row r="413" spans="1:10" x14ac:dyDescent="0.2">
      <c r="A413" s="278" t="s">
        <v>495</v>
      </c>
      <c r="B413" s="241" t="s">
        <v>496</v>
      </c>
      <c r="C413" s="70">
        <v>100000</v>
      </c>
      <c r="D413" s="70">
        <v>100000</v>
      </c>
      <c r="E413" s="70">
        <v>65340</v>
      </c>
      <c r="F413" s="70"/>
      <c r="G413" s="101">
        <f t="shared" si="50"/>
        <v>65.34</v>
      </c>
      <c r="H413" s="47">
        <f t="shared" si="49"/>
        <v>65.34</v>
      </c>
      <c r="I413" s="101">
        <v>0</v>
      </c>
      <c r="J413" s="34">
        <v>0</v>
      </c>
    </row>
    <row r="414" spans="1:10" x14ac:dyDescent="0.2">
      <c r="A414" s="278" t="s">
        <v>497</v>
      </c>
      <c r="B414" s="285" t="s">
        <v>498</v>
      </c>
      <c r="C414" s="70">
        <v>3800000</v>
      </c>
      <c r="D414" s="70">
        <f>3800000-3500000</f>
        <v>300000</v>
      </c>
      <c r="E414" s="70">
        <v>160646</v>
      </c>
      <c r="F414" s="70"/>
      <c r="G414" s="101">
        <f t="shared" si="50"/>
        <v>4.2275263157894738</v>
      </c>
      <c r="H414" s="47">
        <f t="shared" si="49"/>
        <v>53.548666666666669</v>
      </c>
      <c r="I414" s="101">
        <v>0</v>
      </c>
      <c r="J414" s="34">
        <v>0</v>
      </c>
    </row>
    <row r="415" spans="1:10" x14ac:dyDescent="0.2">
      <c r="A415" s="278" t="s">
        <v>499</v>
      </c>
      <c r="B415" s="241" t="s">
        <v>500</v>
      </c>
      <c r="C415" s="70">
        <v>600000</v>
      </c>
      <c r="D415" s="70">
        <v>600000</v>
      </c>
      <c r="E415" s="70">
        <v>244850</v>
      </c>
      <c r="F415" s="70"/>
      <c r="G415" s="101">
        <f t="shared" si="50"/>
        <v>40.808333333333337</v>
      </c>
      <c r="H415" s="47">
        <f t="shared" si="49"/>
        <v>40.808333333333337</v>
      </c>
      <c r="I415" s="101">
        <f t="shared" si="51"/>
        <v>114.97464312546957</v>
      </c>
      <c r="J415" s="34">
        <v>212960</v>
      </c>
    </row>
    <row r="416" spans="1:10" x14ac:dyDescent="0.2">
      <c r="A416" s="278" t="s">
        <v>499</v>
      </c>
      <c r="B416" s="241" t="s">
        <v>501</v>
      </c>
      <c r="C416" s="70">
        <v>0</v>
      </c>
      <c r="D416" s="70">
        <v>42350</v>
      </c>
      <c r="E416" s="70">
        <v>42350</v>
      </c>
      <c r="F416" s="70"/>
      <c r="G416" s="101">
        <v>0</v>
      </c>
      <c r="H416" s="47">
        <f t="shared" si="49"/>
        <v>100</v>
      </c>
      <c r="I416" s="101">
        <v>0</v>
      </c>
      <c r="J416" s="34">
        <v>0</v>
      </c>
    </row>
    <row r="417" spans="1:10" x14ac:dyDescent="0.2">
      <c r="A417" s="278" t="s">
        <v>502</v>
      </c>
      <c r="B417" s="241" t="s">
        <v>503</v>
      </c>
      <c r="C417" s="70">
        <v>1200000</v>
      </c>
      <c r="D417" s="70">
        <f>1200000-1200000</f>
        <v>0</v>
      </c>
      <c r="E417" s="70">
        <v>0</v>
      </c>
      <c r="F417" s="70"/>
      <c r="G417" s="101">
        <f t="shared" si="50"/>
        <v>0</v>
      </c>
      <c r="H417" s="47">
        <v>0</v>
      </c>
      <c r="I417" s="101">
        <v>0</v>
      </c>
      <c r="J417" s="34">
        <v>0</v>
      </c>
    </row>
    <row r="418" spans="1:10" x14ac:dyDescent="0.2">
      <c r="A418" s="278" t="s">
        <v>504</v>
      </c>
      <c r="B418" s="241" t="s">
        <v>505</v>
      </c>
      <c r="C418" s="70">
        <v>250000</v>
      </c>
      <c r="D418" s="70">
        <f>250000-250000</f>
        <v>0</v>
      </c>
      <c r="E418" s="70">
        <v>0</v>
      </c>
      <c r="F418" s="70"/>
      <c r="G418" s="101">
        <f t="shared" si="50"/>
        <v>0</v>
      </c>
      <c r="H418" s="47">
        <v>0</v>
      </c>
      <c r="I418" s="101">
        <v>0</v>
      </c>
      <c r="J418" s="34">
        <v>0</v>
      </c>
    </row>
    <row r="419" spans="1:10" x14ac:dyDescent="0.2">
      <c r="A419" s="234" t="s">
        <v>506</v>
      </c>
      <c r="B419" s="241" t="s">
        <v>507</v>
      </c>
      <c r="C419" s="70">
        <v>650000</v>
      </c>
      <c r="D419" s="70">
        <f>650000-650000</f>
        <v>0</v>
      </c>
      <c r="E419" s="70">
        <v>0</v>
      </c>
      <c r="F419" s="70"/>
      <c r="G419" s="101">
        <f t="shared" si="50"/>
        <v>0</v>
      </c>
      <c r="H419" s="47">
        <v>0</v>
      </c>
      <c r="I419" s="101">
        <v>0</v>
      </c>
      <c r="J419" s="34">
        <v>0</v>
      </c>
    </row>
    <row r="420" spans="1:10" x14ac:dyDescent="0.2">
      <c r="A420" s="278" t="s">
        <v>508</v>
      </c>
      <c r="B420" s="286" t="s">
        <v>509</v>
      </c>
      <c r="C420" s="47">
        <v>350000</v>
      </c>
      <c r="D420" s="47">
        <f>350000+57770</f>
        <v>407770</v>
      </c>
      <c r="E420" s="24">
        <v>280720</v>
      </c>
      <c r="F420" s="24"/>
      <c r="G420" s="101">
        <f t="shared" si="50"/>
        <v>80.205714285714279</v>
      </c>
      <c r="H420" s="47">
        <f t="shared" si="49"/>
        <v>68.842729970326417</v>
      </c>
      <c r="I420" s="101">
        <v>0</v>
      </c>
      <c r="J420" s="34">
        <v>0</v>
      </c>
    </row>
    <row r="421" spans="1:10" x14ac:dyDescent="0.2">
      <c r="A421" s="234" t="s">
        <v>510</v>
      </c>
      <c r="B421" s="286" t="s">
        <v>511</v>
      </c>
      <c r="C421" s="70">
        <v>600000</v>
      </c>
      <c r="D421" s="70">
        <v>600000</v>
      </c>
      <c r="E421" s="70">
        <v>0</v>
      </c>
      <c r="F421" s="24"/>
      <c r="G421" s="101">
        <f t="shared" si="50"/>
        <v>0</v>
      </c>
      <c r="H421" s="47">
        <f t="shared" si="49"/>
        <v>0</v>
      </c>
      <c r="I421" s="101">
        <v>0</v>
      </c>
      <c r="J421" s="34">
        <v>0</v>
      </c>
    </row>
    <row r="422" spans="1:10" x14ac:dyDescent="0.2">
      <c r="A422" s="234" t="s">
        <v>512</v>
      </c>
      <c r="B422" s="186" t="s">
        <v>513</v>
      </c>
      <c r="C422" s="70">
        <v>1100000</v>
      </c>
      <c r="D422" s="70">
        <f>1100000-100000</f>
        <v>1000000</v>
      </c>
      <c r="E422" s="70">
        <v>510205.82</v>
      </c>
      <c r="F422" s="70"/>
      <c r="G422" s="101">
        <f t="shared" si="50"/>
        <v>46.382347272727273</v>
      </c>
      <c r="H422" s="47">
        <f t="shared" si="49"/>
        <v>51.020582000000005</v>
      </c>
      <c r="I422" s="101">
        <f t="shared" si="51"/>
        <v>10204.116399999999</v>
      </c>
      <c r="J422" s="34">
        <v>5000</v>
      </c>
    </row>
    <row r="423" spans="1:10" x14ac:dyDescent="0.2">
      <c r="A423" s="271" t="s">
        <v>514</v>
      </c>
      <c r="B423" s="285" t="s">
        <v>515</v>
      </c>
      <c r="C423" s="160">
        <v>0</v>
      </c>
      <c r="D423" s="160">
        <f>54450</f>
        <v>54450</v>
      </c>
      <c r="E423" s="70">
        <v>54450</v>
      </c>
      <c r="F423" s="70"/>
      <c r="G423" s="101">
        <v>0</v>
      </c>
      <c r="H423" s="47">
        <f t="shared" si="49"/>
        <v>100</v>
      </c>
      <c r="I423" s="101">
        <f t="shared" si="51"/>
        <v>66.17647058823529</v>
      </c>
      <c r="J423" s="34">
        <v>82280</v>
      </c>
    </row>
    <row r="424" spans="1:10" x14ac:dyDescent="0.2">
      <c r="A424" s="234" t="s">
        <v>302</v>
      </c>
      <c r="B424" s="235" t="s">
        <v>516</v>
      </c>
      <c r="C424" s="70">
        <v>200000</v>
      </c>
      <c r="D424" s="70">
        <f>200000-200000</f>
        <v>0</v>
      </c>
      <c r="E424" s="70">
        <v>0</v>
      </c>
      <c r="F424" s="70"/>
      <c r="G424" s="101">
        <f t="shared" ref="G424:G487" si="52">E424/C424*100</f>
        <v>0</v>
      </c>
      <c r="H424" s="47">
        <v>0</v>
      </c>
      <c r="I424" s="101">
        <v>0</v>
      </c>
      <c r="J424" s="19">
        <v>74117.2</v>
      </c>
    </row>
    <row r="425" spans="1:10" x14ac:dyDescent="0.2">
      <c r="A425" s="278" t="s">
        <v>517</v>
      </c>
      <c r="B425" s="286" t="s">
        <v>518</v>
      </c>
      <c r="C425" s="70">
        <v>20000</v>
      </c>
      <c r="D425" s="70">
        <f>20000-300000+200000+(300000+300000)-133705-42350</f>
        <v>343945</v>
      </c>
      <c r="E425" s="70">
        <v>209140</v>
      </c>
      <c r="F425" s="70"/>
      <c r="G425" s="101">
        <f t="shared" si="52"/>
        <v>1045.7</v>
      </c>
      <c r="H425" s="47">
        <f t="shared" ref="H425:H487" si="53">E425/D425*100</f>
        <v>60.806233554783475</v>
      </c>
      <c r="I425" s="101">
        <f t="shared" ref="I425:I486" si="54">E425/J425*100</f>
        <v>164.6771653543307</v>
      </c>
      <c r="J425" s="34">
        <v>127000</v>
      </c>
    </row>
    <row r="426" spans="1:10" x14ac:dyDescent="0.2">
      <c r="A426" s="97">
        <v>2221</v>
      </c>
      <c r="B426" s="290" t="s">
        <v>313</v>
      </c>
      <c r="C426" s="106">
        <f t="shared" ref="C426:D426" si="55">SUM(C427:C430)</f>
        <v>2010000</v>
      </c>
      <c r="D426" s="106">
        <f t="shared" si="55"/>
        <v>2810000</v>
      </c>
      <c r="E426" s="114">
        <v>2302091.33</v>
      </c>
      <c r="F426" s="70">
        <f>SUM(E427:E430)</f>
        <v>2302091.33</v>
      </c>
      <c r="G426" s="100">
        <f t="shared" si="52"/>
        <v>114.53190696517413</v>
      </c>
      <c r="H426" s="106">
        <f t="shared" si="53"/>
        <v>81.924958362989329</v>
      </c>
      <c r="I426" s="100">
        <v>0</v>
      </c>
      <c r="J426" s="34">
        <v>0</v>
      </c>
    </row>
    <row r="427" spans="1:10" x14ac:dyDescent="0.2">
      <c r="A427" s="234" t="s">
        <v>519</v>
      </c>
      <c r="B427" s="286" t="s">
        <v>520</v>
      </c>
      <c r="C427" s="47">
        <v>1500000</v>
      </c>
      <c r="D427" s="47">
        <f>1500000+300000+40000+500000</f>
        <v>2340000</v>
      </c>
      <c r="E427" s="70">
        <v>2221091.33</v>
      </c>
      <c r="F427" s="70"/>
      <c r="G427" s="101">
        <f t="shared" si="52"/>
        <v>148.07275533333333</v>
      </c>
      <c r="H427" s="47">
        <f t="shared" si="53"/>
        <v>94.918432905982911</v>
      </c>
      <c r="I427" s="101">
        <v>0</v>
      </c>
      <c r="J427" s="34">
        <v>0</v>
      </c>
    </row>
    <row r="428" spans="1:10" x14ac:dyDescent="0.2">
      <c r="A428" s="234" t="s">
        <v>521</v>
      </c>
      <c r="B428" s="286" t="s">
        <v>522</v>
      </c>
      <c r="C428" s="47">
        <v>10000</v>
      </c>
      <c r="D428" s="47">
        <v>10000</v>
      </c>
      <c r="E428" s="70">
        <v>0</v>
      </c>
      <c r="F428" s="70"/>
      <c r="G428" s="101">
        <f t="shared" si="52"/>
        <v>0</v>
      </c>
      <c r="H428" s="47">
        <f t="shared" si="53"/>
        <v>0</v>
      </c>
      <c r="I428" s="101">
        <v>0</v>
      </c>
      <c r="J428" s="34">
        <v>0</v>
      </c>
    </row>
    <row r="429" spans="1:10" x14ac:dyDescent="0.2">
      <c r="A429" s="234" t="s">
        <v>523</v>
      </c>
      <c r="B429" s="286" t="s">
        <v>524</v>
      </c>
      <c r="C429" s="47">
        <v>300000</v>
      </c>
      <c r="D429" s="47">
        <f>300000+50900</f>
        <v>350900</v>
      </c>
      <c r="E429" s="70">
        <v>0</v>
      </c>
      <c r="F429" s="70"/>
      <c r="G429" s="101">
        <f t="shared" si="52"/>
        <v>0</v>
      </c>
      <c r="H429" s="47">
        <f t="shared" si="53"/>
        <v>0</v>
      </c>
      <c r="I429" s="101">
        <v>0</v>
      </c>
      <c r="J429" s="34">
        <v>0</v>
      </c>
    </row>
    <row r="430" spans="1:10" ht="13.5" thickBot="1" x14ac:dyDescent="0.25">
      <c r="A430" s="291" t="s">
        <v>525</v>
      </c>
      <c r="B430" s="292" t="s">
        <v>526</v>
      </c>
      <c r="C430" s="170">
        <v>200000</v>
      </c>
      <c r="D430" s="170">
        <f>200000-50900-40000</f>
        <v>109100</v>
      </c>
      <c r="E430" s="125">
        <v>81000</v>
      </c>
      <c r="F430" s="125"/>
      <c r="G430" s="101">
        <f t="shared" si="52"/>
        <v>40.5</v>
      </c>
      <c r="H430" s="47">
        <f t="shared" si="53"/>
        <v>74.243813015582035</v>
      </c>
      <c r="I430" s="101">
        <v>0</v>
      </c>
      <c r="J430" s="34">
        <v>0</v>
      </c>
    </row>
    <row r="431" spans="1:10" ht="16.5" thickBot="1" x14ac:dyDescent="0.3">
      <c r="A431" s="293"/>
      <c r="B431" s="162" t="s">
        <v>527</v>
      </c>
      <c r="C431" s="128">
        <f>SUM(C432)</f>
        <v>0</v>
      </c>
      <c r="D431" s="128">
        <f>SUM(D432)</f>
        <v>5273000</v>
      </c>
      <c r="E431" s="128">
        <v>4908976.2300000004</v>
      </c>
      <c r="F431" s="196">
        <f>SUM(E432)</f>
        <v>4908976.2300000004</v>
      </c>
      <c r="G431" s="89">
        <v>0</v>
      </c>
      <c r="H431" s="89">
        <f t="shared" si="53"/>
        <v>93.096457993552065</v>
      </c>
      <c r="I431" s="89">
        <v>0</v>
      </c>
      <c r="J431" s="34">
        <v>0</v>
      </c>
    </row>
    <row r="432" spans="1:10" x14ac:dyDescent="0.2">
      <c r="A432" s="92">
        <v>3111</v>
      </c>
      <c r="B432" s="225" t="s">
        <v>528</v>
      </c>
      <c r="C432" s="106">
        <f>SUM(C433:C437)</f>
        <v>0</v>
      </c>
      <c r="D432" s="106">
        <f>SUM(D433:D437)</f>
        <v>5273000</v>
      </c>
      <c r="E432" s="106">
        <v>4908976.2300000004</v>
      </c>
      <c r="F432" s="47">
        <f>SUM(E433:E437)</f>
        <v>4908976.2300000004</v>
      </c>
      <c r="G432" s="100">
        <v>0</v>
      </c>
      <c r="H432" s="106">
        <f t="shared" si="53"/>
        <v>93.096457993552065</v>
      </c>
      <c r="I432" s="100">
        <v>0</v>
      </c>
      <c r="J432" s="34">
        <v>0</v>
      </c>
    </row>
    <row r="433" spans="1:10" x14ac:dyDescent="0.2">
      <c r="A433" s="287" t="s">
        <v>529</v>
      </c>
      <c r="B433" s="294" t="s">
        <v>530</v>
      </c>
      <c r="C433" s="70">
        <v>0</v>
      </c>
      <c r="D433" s="70">
        <f>4139000+300000</f>
        <v>4439000</v>
      </c>
      <c r="E433" s="70">
        <v>4349950</v>
      </c>
      <c r="F433" s="70"/>
      <c r="G433" s="101">
        <v>0</v>
      </c>
      <c r="H433" s="47">
        <f t="shared" si="53"/>
        <v>97.993917548997516</v>
      </c>
      <c r="I433" s="101">
        <v>0</v>
      </c>
      <c r="J433" s="34">
        <v>0</v>
      </c>
    </row>
    <row r="434" spans="1:10" x14ac:dyDescent="0.2">
      <c r="A434" s="287" t="s">
        <v>531</v>
      </c>
      <c r="B434" s="294" t="s">
        <v>532</v>
      </c>
      <c r="C434" s="70">
        <v>0</v>
      </c>
      <c r="D434" s="70">
        <v>257000</v>
      </c>
      <c r="E434" s="70">
        <v>249941.23</v>
      </c>
      <c r="F434" s="70"/>
      <c r="G434" s="101">
        <v>0</v>
      </c>
      <c r="H434" s="47">
        <f t="shared" si="53"/>
        <v>97.253396887159539</v>
      </c>
      <c r="I434" s="101">
        <v>0</v>
      </c>
      <c r="J434" s="34">
        <v>0</v>
      </c>
    </row>
    <row r="435" spans="1:10" x14ac:dyDescent="0.2">
      <c r="A435" s="287" t="s">
        <v>533</v>
      </c>
      <c r="B435" s="294" t="s">
        <v>534</v>
      </c>
      <c r="C435" s="70">
        <v>0</v>
      </c>
      <c r="D435" s="70">
        <v>233000</v>
      </c>
      <c r="E435" s="70">
        <v>0</v>
      </c>
      <c r="F435" s="70"/>
      <c r="G435" s="101">
        <v>0</v>
      </c>
      <c r="H435" s="47">
        <f t="shared" si="53"/>
        <v>0</v>
      </c>
      <c r="I435" s="101">
        <v>0</v>
      </c>
      <c r="J435" s="34">
        <v>0</v>
      </c>
    </row>
    <row r="436" spans="1:10" x14ac:dyDescent="0.2">
      <c r="A436" s="287" t="s">
        <v>535</v>
      </c>
      <c r="B436" s="294" t="s">
        <v>536</v>
      </c>
      <c r="C436" s="70">
        <v>0</v>
      </c>
      <c r="D436" s="70">
        <v>194000</v>
      </c>
      <c r="E436" s="70">
        <v>179685</v>
      </c>
      <c r="F436" s="70"/>
      <c r="G436" s="101">
        <v>0</v>
      </c>
      <c r="H436" s="47">
        <f t="shared" si="53"/>
        <v>92.621134020618555</v>
      </c>
      <c r="I436" s="101">
        <v>0</v>
      </c>
      <c r="J436" s="34">
        <v>0</v>
      </c>
    </row>
    <row r="437" spans="1:10" ht="13.5" thickBot="1" x14ac:dyDescent="0.25">
      <c r="A437" s="287" t="s">
        <v>537</v>
      </c>
      <c r="B437" s="294" t="s">
        <v>538</v>
      </c>
      <c r="C437" s="70">
        <v>0</v>
      </c>
      <c r="D437" s="70">
        <v>150000</v>
      </c>
      <c r="E437" s="70">
        <v>129400</v>
      </c>
      <c r="F437" s="70"/>
      <c r="G437" s="101">
        <v>0</v>
      </c>
      <c r="H437" s="47">
        <f t="shared" si="53"/>
        <v>86.266666666666666</v>
      </c>
      <c r="I437" s="101">
        <v>0</v>
      </c>
      <c r="J437" s="34">
        <v>0</v>
      </c>
    </row>
    <row r="438" spans="1:10" ht="16.5" thickBot="1" x14ac:dyDescent="0.3">
      <c r="A438" s="295"/>
      <c r="B438" s="86" t="s">
        <v>539</v>
      </c>
      <c r="C438" s="128">
        <f t="shared" ref="C438:D438" si="56">SUM(C439+C441)</f>
        <v>4950000</v>
      </c>
      <c r="D438" s="128">
        <f t="shared" si="56"/>
        <v>2550000</v>
      </c>
      <c r="E438" s="128">
        <v>1315713.48</v>
      </c>
      <c r="F438" s="196">
        <f>SUM(E439,E441)</f>
        <v>1315713.48</v>
      </c>
      <c r="G438" s="89">
        <f t="shared" si="52"/>
        <v>26.5800703030303</v>
      </c>
      <c r="H438" s="89">
        <f t="shared" si="53"/>
        <v>51.59660705882353</v>
      </c>
      <c r="I438" s="89">
        <f t="shared" si="54"/>
        <v>70.366385678567227</v>
      </c>
      <c r="J438" s="34">
        <v>1869803.98</v>
      </c>
    </row>
    <row r="439" spans="1:10" x14ac:dyDescent="0.2">
      <c r="A439" s="92">
        <v>3613</v>
      </c>
      <c r="B439" s="225" t="s">
        <v>540</v>
      </c>
      <c r="C439" s="106">
        <f t="shared" ref="C439:D439" si="57">C440</f>
        <v>300000</v>
      </c>
      <c r="D439" s="106">
        <f t="shared" si="57"/>
        <v>100000</v>
      </c>
      <c r="E439" s="106">
        <v>99290</v>
      </c>
      <c r="F439" s="47"/>
      <c r="G439" s="100">
        <f t="shared" si="52"/>
        <v>33.096666666666671</v>
      </c>
      <c r="H439" s="106">
        <f t="shared" si="53"/>
        <v>99.29</v>
      </c>
      <c r="I439" s="100">
        <f t="shared" si="54"/>
        <v>140.16092603049123</v>
      </c>
      <c r="J439" s="34">
        <v>70840</v>
      </c>
    </row>
    <row r="440" spans="1:10" x14ac:dyDescent="0.2">
      <c r="A440" s="234" t="s">
        <v>541</v>
      </c>
      <c r="B440" s="143" t="s">
        <v>542</v>
      </c>
      <c r="C440" s="70">
        <v>300000</v>
      </c>
      <c r="D440" s="70">
        <f>300000-200000</f>
        <v>100000</v>
      </c>
      <c r="E440" s="70">
        <v>99290</v>
      </c>
      <c r="F440" s="70"/>
      <c r="G440" s="101">
        <f t="shared" si="52"/>
        <v>33.096666666666671</v>
      </c>
      <c r="H440" s="47">
        <f t="shared" si="53"/>
        <v>99.29</v>
      </c>
      <c r="I440" s="101">
        <f t="shared" si="54"/>
        <v>140.16092603049123</v>
      </c>
      <c r="J440" s="34">
        <v>70840</v>
      </c>
    </row>
    <row r="441" spans="1:10" x14ac:dyDescent="0.2">
      <c r="A441" s="97">
        <v>3639</v>
      </c>
      <c r="B441" s="98" t="s">
        <v>543</v>
      </c>
      <c r="C441" s="114">
        <f>SUM(C442:C446)</f>
        <v>4650000</v>
      </c>
      <c r="D441" s="114">
        <f>SUM(D442:D446)</f>
        <v>2450000</v>
      </c>
      <c r="E441" s="114">
        <v>1216423.48</v>
      </c>
      <c r="F441" s="70">
        <f>SUM(E442:E446)</f>
        <v>1216423.48</v>
      </c>
      <c r="G441" s="100">
        <f t="shared" si="52"/>
        <v>26.159644731182794</v>
      </c>
      <c r="H441" s="106">
        <f t="shared" si="53"/>
        <v>49.649937959183674</v>
      </c>
      <c r="I441" s="100">
        <f t="shared" si="54"/>
        <v>67.618000889600921</v>
      </c>
      <c r="J441" s="34">
        <v>1798963.98</v>
      </c>
    </row>
    <row r="442" spans="1:10" x14ac:dyDescent="0.2">
      <c r="A442" s="234" t="s">
        <v>544</v>
      </c>
      <c r="B442" s="152" t="s">
        <v>545</v>
      </c>
      <c r="C442" s="70">
        <v>128000</v>
      </c>
      <c r="D442" s="70">
        <v>128000</v>
      </c>
      <c r="E442" s="70">
        <v>0</v>
      </c>
      <c r="F442" s="70"/>
      <c r="G442" s="101">
        <f t="shared" si="52"/>
        <v>0</v>
      </c>
      <c r="H442" s="47">
        <f t="shared" si="53"/>
        <v>0</v>
      </c>
      <c r="I442" s="101">
        <v>0</v>
      </c>
      <c r="J442" s="34">
        <v>0</v>
      </c>
    </row>
    <row r="443" spans="1:10" x14ac:dyDescent="0.2">
      <c r="A443" s="234" t="s">
        <v>546</v>
      </c>
      <c r="B443" s="152" t="s">
        <v>547</v>
      </c>
      <c r="C443" s="70">
        <v>30000</v>
      </c>
      <c r="D443" s="70">
        <v>30000</v>
      </c>
      <c r="E443" s="70">
        <v>3389.5</v>
      </c>
      <c r="F443" s="70"/>
      <c r="G443" s="101">
        <f t="shared" si="52"/>
        <v>11.298333333333334</v>
      </c>
      <c r="H443" s="47">
        <f t="shared" si="53"/>
        <v>11.298333333333334</v>
      </c>
      <c r="I443" s="101">
        <f t="shared" si="54"/>
        <v>9.6276941282001527</v>
      </c>
      <c r="J443" s="34">
        <v>35205.730000000003</v>
      </c>
    </row>
    <row r="444" spans="1:10" x14ac:dyDescent="0.2">
      <c r="A444" s="234" t="s">
        <v>548</v>
      </c>
      <c r="B444" s="152" t="s">
        <v>549</v>
      </c>
      <c r="C444" s="70">
        <v>470000</v>
      </c>
      <c r="D444" s="70">
        <v>470000</v>
      </c>
      <c r="E444" s="70">
        <v>412005</v>
      </c>
      <c r="F444" s="70"/>
      <c r="G444" s="101">
        <f t="shared" si="52"/>
        <v>87.660638297872339</v>
      </c>
      <c r="H444" s="47">
        <f t="shared" si="53"/>
        <v>87.660638297872339</v>
      </c>
      <c r="I444" s="101">
        <f t="shared" si="54"/>
        <v>181.35818908122502</v>
      </c>
      <c r="J444" s="34">
        <v>227177.5</v>
      </c>
    </row>
    <row r="445" spans="1:10" ht="25.5" x14ac:dyDescent="0.2">
      <c r="A445" s="234" t="s">
        <v>550</v>
      </c>
      <c r="B445" s="143" t="s">
        <v>551</v>
      </c>
      <c r="C445" s="70">
        <v>4000000</v>
      </c>
      <c r="D445" s="70">
        <f>4000000-200000-2000000</f>
        <v>1800000</v>
      </c>
      <c r="E445" s="70">
        <v>783585.48</v>
      </c>
      <c r="F445" s="70"/>
      <c r="G445" s="104">
        <f t="shared" si="52"/>
        <v>19.589637</v>
      </c>
      <c r="H445" s="47">
        <f t="shared" si="53"/>
        <v>43.532526666666662</v>
      </c>
      <c r="I445" s="104">
        <f t="shared" si="54"/>
        <v>56.334726210565719</v>
      </c>
      <c r="J445" s="19">
        <v>1390945.75</v>
      </c>
    </row>
    <row r="446" spans="1:10" ht="13.5" thickBot="1" x14ac:dyDescent="0.25">
      <c r="A446" s="287" t="s">
        <v>552</v>
      </c>
      <c r="B446" s="296" t="s">
        <v>553</v>
      </c>
      <c r="C446" s="125">
        <v>22000</v>
      </c>
      <c r="D446" s="125">
        <v>22000</v>
      </c>
      <c r="E446" s="125">
        <v>17443.5</v>
      </c>
      <c r="F446" s="125"/>
      <c r="G446" s="101">
        <f t="shared" si="52"/>
        <v>79.288636363636371</v>
      </c>
      <c r="H446" s="47">
        <f t="shared" si="53"/>
        <v>79.288636363636371</v>
      </c>
      <c r="I446" s="101">
        <f t="shared" si="54"/>
        <v>20.134472211000173</v>
      </c>
      <c r="J446" s="34">
        <v>86635</v>
      </c>
    </row>
    <row r="447" spans="1:10" ht="16.5" thickBot="1" x14ac:dyDescent="0.3">
      <c r="A447" s="295"/>
      <c r="B447" s="162" t="s">
        <v>554</v>
      </c>
      <c r="C447" s="128">
        <f>SUM(C448,C450)</f>
        <v>0</v>
      </c>
      <c r="D447" s="128">
        <f>SUM(D448,D450)</f>
        <v>2616000</v>
      </c>
      <c r="E447" s="128">
        <v>2160525.15</v>
      </c>
      <c r="F447" s="196">
        <f>SUM(E448,E450)</f>
        <v>2160525.15</v>
      </c>
      <c r="G447" s="89">
        <v>0</v>
      </c>
      <c r="H447" s="89">
        <f t="shared" si="53"/>
        <v>82.58888188073395</v>
      </c>
      <c r="I447" s="89">
        <v>0</v>
      </c>
      <c r="J447" s="34">
        <v>0</v>
      </c>
    </row>
    <row r="448" spans="1:10" x14ac:dyDescent="0.2">
      <c r="A448" s="92">
        <v>3311</v>
      </c>
      <c r="B448" s="225" t="s">
        <v>555</v>
      </c>
      <c r="C448" s="106">
        <f t="shared" ref="C448:D448" si="58">C449</f>
        <v>0</v>
      </c>
      <c r="D448" s="106">
        <f t="shared" si="58"/>
        <v>0</v>
      </c>
      <c r="E448" s="106">
        <v>0</v>
      </c>
      <c r="F448" s="106"/>
      <c r="G448" s="100">
        <v>0</v>
      </c>
      <c r="H448" s="106">
        <v>0</v>
      </c>
      <c r="I448" s="100">
        <v>0</v>
      </c>
      <c r="J448" s="34">
        <v>0</v>
      </c>
    </row>
    <row r="449" spans="1:10" x14ac:dyDescent="0.2">
      <c r="A449" s="287" t="s">
        <v>556</v>
      </c>
      <c r="B449" s="294" t="s">
        <v>557</v>
      </c>
      <c r="C449" s="70">
        <v>0</v>
      </c>
      <c r="D449" s="70">
        <f>5319000-300000-4000000-1000000-19000</f>
        <v>0</v>
      </c>
      <c r="E449" s="70">
        <v>0</v>
      </c>
      <c r="F449" s="70"/>
      <c r="G449" s="101">
        <v>0</v>
      </c>
      <c r="H449" s="47">
        <v>0</v>
      </c>
      <c r="I449" s="101">
        <v>0</v>
      </c>
      <c r="J449" s="34">
        <v>0</v>
      </c>
    </row>
    <row r="450" spans="1:10" x14ac:dyDescent="0.2">
      <c r="A450" s="92">
        <v>3392</v>
      </c>
      <c r="B450" s="137" t="s">
        <v>558</v>
      </c>
      <c r="C450" s="106">
        <f>SUM(C451:C452)</f>
        <v>0</v>
      </c>
      <c r="D450" s="106">
        <f>SUM(D451:D452)</f>
        <v>2616000</v>
      </c>
      <c r="E450" s="106">
        <v>2160525.15</v>
      </c>
      <c r="F450" s="47">
        <f>SUM(E451:E452)</f>
        <v>2160525.15</v>
      </c>
      <c r="G450" s="100">
        <v>0</v>
      </c>
      <c r="H450" s="106">
        <f t="shared" si="53"/>
        <v>82.58888188073395</v>
      </c>
      <c r="I450" s="100">
        <v>0</v>
      </c>
      <c r="J450" s="34">
        <v>0</v>
      </c>
    </row>
    <row r="451" spans="1:10" x14ac:dyDescent="0.2">
      <c r="A451" s="287" t="s">
        <v>559</v>
      </c>
      <c r="B451" s="294" t="s">
        <v>560</v>
      </c>
      <c r="C451" s="70">
        <v>0</v>
      </c>
      <c r="D451" s="70">
        <f>2381000-60000-60000-2000000</f>
        <v>261000</v>
      </c>
      <c r="E451" s="70">
        <v>87604</v>
      </c>
      <c r="F451" s="70"/>
      <c r="G451" s="101">
        <v>0</v>
      </c>
      <c r="H451" s="47">
        <f t="shared" si="53"/>
        <v>33.564750957854407</v>
      </c>
      <c r="I451" s="101">
        <v>0</v>
      </c>
      <c r="J451" s="34">
        <v>0</v>
      </c>
    </row>
    <row r="452" spans="1:10" ht="13.5" thickBot="1" x14ac:dyDescent="0.25">
      <c r="A452" s="287" t="s">
        <v>561</v>
      </c>
      <c r="B452" s="297" t="s">
        <v>562</v>
      </c>
      <c r="C452" s="70">
        <v>0</v>
      </c>
      <c r="D452" s="70">
        <f>2295000+60000</f>
        <v>2355000</v>
      </c>
      <c r="E452" s="70">
        <v>2072921.15</v>
      </c>
      <c r="F452" s="70"/>
      <c r="G452" s="101">
        <v>0</v>
      </c>
      <c r="H452" s="47">
        <f t="shared" si="53"/>
        <v>88.022129511677278</v>
      </c>
      <c r="I452" s="101">
        <v>0</v>
      </c>
      <c r="J452" s="34">
        <v>0</v>
      </c>
    </row>
    <row r="453" spans="1:10" ht="16.5" thickBot="1" x14ac:dyDescent="0.3">
      <c r="A453" s="295"/>
      <c r="B453" s="86" t="s">
        <v>563</v>
      </c>
      <c r="C453" s="128">
        <f>SUM(C454)</f>
        <v>0</v>
      </c>
      <c r="D453" s="128">
        <f>SUM(D454)</f>
        <v>280000</v>
      </c>
      <c r="E453" s="128">
        <v>58080</v>
      </c>
      <c r="F453" s="196">
        <f>SUM(E454)</f>
        <v>58080</v>
      </c>
      <c r="G453" s="89">
        <v>0</v>
      </c>
      <c r="H453" s="89">
        <f t="shared" si="53"/>
        <v>20.742857142857144</v>
      </c>
      <c r="I453" s="89">
        <v>0</v>
      </c>
      <c r="J453" s="34">
        <v>0</v>
      </c>
    </row>
    <row r="454" spans="1:10" x14ac:dyDescent="0.2">
      <c r="A454" s="92">
        <v>3745</v>
      </c>
      <c r="B454" s="225" t="s">
        <v>564</v>
      </c>
      <c r="C454" s="106">
        <f>SUM(C455:C455)</f>
        <v>0</v>
      </c>
      <c r="D454" s="106">
        <f>SUM(D455:D455)</f>
        <v>280000</v>
      </c>
      <c r="E454" s="106">
        <v>58080</v>
      </c>
      <c r="F454" s="47">
        <f>SUM(E455:E455)</f>
        <v>58080</v>
      </c>
      <c r="G454" s="100">
        <v>0</v>
      </c>
      <c r="H454" s="106">
        <f t="shared" si="53"/>
        <v>20.742857142857144</v>
      </c>
      <c r="I454" s="100">
        <v>0</v>
      </c>
      <c r="J454" s="34">
        <v>0</v>
      </c>
    </row>
    <row r="455" spans="1:10" ht="13.5" thickBot="1" x14ac:dyDescent="0.25">
      <c r="A455" s="287" t="s">
        <v>565</v>
      </c>
      <c r="B455" s="294" t="s">
        <v>566</v>
      </c>
      <c r="C455" s="70">
        <v>0</v>
      </c>
      <c r="D455" s="70">
        <f>220000+60000</f>
        <v>280000</v>
      </c>
      <c r="E455" s="70">
        <v>58080</v>
      </c>
      <c r="F455" s="70"/>
      <c r="G455" s="101">
        <v>0</v>
      </c>
      <c r="H455" s="47">
        <f t="shared" si="53"/>
        <v>20.742857142857144</v>
      </c>
      <c r="I455" s="101">
        <v>0</v>
      </c>
      <c r="J455" s="34">
        <v>0</v>
      </c>
    </row>
    <row r="456" spans="1:10" ht="16.5" thickBot="1" x14ac:dyDescent="0.3">
      <c r="A456" s="295"/>
      <c r="B456" s="86" t="s">
        <v>567</v>
      </c>
      <c r="C456" s="128">
        <f>SUM(C457,C463,C468)</f>
        <v>0</v>
      </c>
      <c r="D456" s="128">
        <f>SUM(D457,D463,D468)</f>
        <v>52514965.890000001</v>
      </c>
      <c r="E456" s="128">
        <v>48273124.600000001</v>
      </c>
      <c r="F456" s="196">
        <f>SUM(E457,E463,E468)</f>
        <v>48273124.599999994</v>
      </c>
      <c r="G456" s="89">
        <v>0</v>
      </c>
      <c r="H456" s="89">
        <f t="shared" si="53"/>
        <v>91.922604883938931</v>
      </c>
      <c r="I456" s="89">
        <v>0</v>
      </c>
      <c r="J456" s="34">
        <v>0</v>
      </c>
    </row>
    <row r="457" spans="1:10" x14ac:dyDescent="0.2">
      <c r="A457" s="92">
        <v>3612</v>
      </c>
      <c r="B457" s="225" t="s">
        <v>568</v>
      </c>
      <c r="C457" s="106">
        <f>SUM(C458:C462)</f>
        <v>0</v>
      </c>
      <c r="D457" s="106">
        <f>SUM(D458:D462)</f>
        <v>37046250</v>
      </c>
      <c r="E457" s="106">
        <v>33541217.93</v>
      </c>
      <c r="F457" s="47">
        <f>SUM(E458:E462)</f>
        <v>33541217.93</v>
      </c>
      <c r="G457" s="100">
        <v>0</v>
      </c>
      <c r="H457" s="106">
        <f t="shared" si="53"/>
        <v>90.538766892735438</v>
      </c>
      <c r="I457" s="100">
        <v>0</v>
      </c>
      <c r="J457" s="34">
        <v>0</v>
      </c>
    </row>
    <row r="458" spans="1:10" x14ac:dyDescent="0.2">
      <c r="A458" s="287" t="s">
        <v>569</v>
      </c>
      <c r="B458" s="294" t="s">
        <v>570</v>
      </c>
      <c r="C458" s="70">
        <v>0</v>
      </c>
      <c r="D458" s="70">
        <v>390830</v>
      </c>
      <c r="E458" s="70">
        <v>0</v>
      </c>
      <c r="F458" s="70"/>
      <c r="G458" s="101">
        <v>0</v>
      </c>
      <c r="H458" s="47">
        <f t="shared" si="53"/>
        <v>0</v>
      </c>
      <c r="I458" s="101">
        <v>0</v>
      </c>
      <c r="J458" s="34">
        <v>0</v>
      </c>
    </row>
    <row r="459" spans="1:10" ht="12.75" customHeight="1" x14ac:dyDescent="0.2">
      <c r="A459" s="298" t="s">
        <v>571</v>
      </c>
      <c r="B459" s="169" t="s">
        <v>572</v>
      </c>
      <c r="C459" s="70">
        <v>0</v>
      </c>
      <c r="D459" s="70">
        <f>500000+2000000+500000</f>
        <v>3000000</v>
      </c>
      <c r="E459" s="104">
        <v>2310321.12</v>
      </c>
      <c r="F459" s="104"/>
      <c r="G459" s="47">
        <v>0</v>
      </c>
      <c r="H459" s="47">
        <f t="shared" si="53"/>
        <v>77.010704000000004</v>
      </c>
      <c r="I459" s="47">
        <v>0</v>
      </c>
      <c r="J459" s="34">
        <v>0</v>
      </c>
    </row>
    <row r="460" spans="1:10" x14ac:dyDescent="0.2">
      <c r="A460" s="287" t="s">
        <v>573</v>
      </c>
      <c r="B460" s="294" t="s">
        <v>574</v>
      </c>
      <c r="C460" s="70">
        <v>0</v>
      </c>
      <c r="D460" s="70">
        <f>17500000-1000000</f>
        <v>16500000</v>
      </c>
      <c r="E460" s="70">
        <v>14833930.210000001</v>
      </c>
      <c r="F460" s="70"/>
      <c r="G460" s="101">
        <v>0</v>
      </c>
      <c r="H460" s="47">
        <f t="shared" si="53"/>
        <v>89.902607333333336</v>
      </c>
      <c r="I460" s="101">
        <v>0</v>
      </c>
      <c r="J460" s="34">
        <v>0</v>
      </c>
    </row>
    <row r="461" spans="1:10" x14ac:dyDescent="0.2">
      <c r="A461" s="287" t="s">
        <v>575</v>
      </c>
      <c r="B461" s="294" t="s">
        <v>576</v>
      </c>
      <c r="C461" s="70">
        <v>0</v>
      </c>
      <c r="D461" s="70">
        <f>26500000-4500000-3844580-500000-1000000</f>
        <v>16655420</v>
      </c>
      <c r="E461" s="70">
        <v>16396966.6</v>
      </c>
      <c r="F461" s="70"/>
      <c r="G461" s="101">
        <v>0</v>
      </c>
      <c r="H461" s="47">
        <f t="shared" si="53"/>
        <v>98.448232467268909</v>
      </c>
      <c r="I461" s="101">
        <v>0</v>
      </c>
      <c r="J461" s="34">
        <v>0</v>
      </c>
    </row>
    <row r="462" spans="1:10" x14ac:dyDescent="0.2">
      <c r="A462" s="287" t="s">
        <v>577</v>
      </c>
      <c r="B462" s="294" t="s">
        <v>578</v>
      </c>
      <c r="C462" s="70">
        <v>0</v>
      </c>
      <c r="D462" s="70">
        <v>500000</v>
      </c>
      <c r="E462" s="70">
        <v>0</v>
      </c>
      <c r="F462" s="70"/>
      <c r="G462" s="101">
        <v>0</v>
      </c>
      <c r="H462" s="47">
        <f t="shared" si="53"/>
        <v>0</v>
      </c>
      <c r="I462" s="101">
        <v>0</v>
      </c>
      <c r="J462" s="34">
        <v>0</v>
      </c>
    </row>
    <row r="463" spans="1:10" x14ac:dyDescent="0.2">
      <c r="A463" s="92">
        <v>3613</v>
      </c>
      <c r="B463" s="137" t="s">
        <v>579</v>
      </c>
      <c r="C463" s="106">
        <f>SUM(C464:C467)</f>
        <v>0</v>
      </c>
      <c r="D463" s="106">
        <f>SUM(D464:D467)</f>
        <v>4259880.1500000004</v>
      </c>
      <c r="E463" s="106">
        <v>3777021.84</v>
      </c>
      <c r="F463" s="47">
        <f>SUM(E464:E467)</f>
        <v>3777021.84</v>
      </c>
      <c r="G463" s="100">
        <v>0</v>
      </c>
      <c r="H463" s="106">
        <f t="shared" si="53"/>
        <v>88.664978990077913</v>
      </c>
      <c r="I463" s="100">
        <v>0</v>
      </c>
      <c r="J463" s="34">
        <v>0</v>
      </c>
    </row>
    <row r="464" spans="1:10" x14ac:dyDescent="0.2">
      <c r="A464" s="287" t="s">
        <v>580</v>
      </c>
      <c r="B464" s="294" t="s">
        <v>581</v>
      </c>
      <c r="C464" s="70">
        <v>0</v>
      </c>
      <c r="D464" s="70">
        <v>453750</v>
      </c>
      <c r="E464" s="70">
        <v>453750</v>
      </c>
      <c r="F464" s="70"/>
      <c r="G464" s="101">
        <v>0</v>
      </c>
      <c r="H464" s="47">
        <f t="shared" si="53"/>
        <v>100</v>
      </c>
      <c r="I464" s="101">
        <v>0</v>
      </c>
      <c r="J464" s="34">
        <v>0</v>
      </c>
    </row>
    <row r="465" spans="1:10" ht="12.75" customHeight="1" x14ac:dyDescent="0.2">
      <c r="A465" s="298" t="s">
        <v>571</v>
      </c>
      <c r="B465" s="169" t="s">
        <v>582</v>
      </c>
      <c r="C465" s="70">
        <v>0</v>
      </c>
      <c r="D465" s="70">
        <f>1000000+70000</f>
        <v>1070000</v>
      </c>
      <c r="E465" s="104">
        <v>1067141.69</v>
      </c>
      <c r="F465" s="104"/>
      <c r="G465" s="47">
        <v>0</v>
      </c>
      <c r="H465" s="47">
        <f t="shared" si="53"/>
        <v>99.732868224299068</v>
      </c>
      <c r="I465" s="47">
        <v>0</v>
      </c>
      <c r="J465" s="34">
        <v>0</v>
      </c>
    </row>
    <row r="466" spans="1:10" x14ac:dyDescent="0.2">
      <c r="A466" s="287" t="s">
        <v>583</v>
      </c>
      <c r="B466" s="294" t="s">
        <v>584</v>
      </c>
      <c r="C466" s="70">
        <v>0</v>
      </c>
      <c r="D466" s="70">
        <f>2500000-243869.85</f>
        <v>2256130.15</v>
      </c>
      <c r="E466" s="70">
        <v>2256130.15</v>
      </c>
      <c r="F466" s="70"/>
      <c r="G466" s="101">
        <v>0</v>
      </c>
      <c r="H466" s="47">
        <f t="shared" si="53"/>
        <v>100</v>
      </c>
      <c r="I466" s="101">
        <v>0</v>
      </c>
      <c r="J466" s="34">
        <v>0</v>
      </c>
    </row>
    <row r="467" spans="1:10" x14ac:dyDescent="0.2">
      <c r="A467" s="287" t="s">
        <v>585</v>
      </c>
      <c r="B467" s="294" t="s">
        <v>586</v>
      </c>
      <c r="C467" s="70">
        <v>0</v>
      </c>
      <c r="D467" s="70">
        <f>1550000-70000-1000000</f>
        <v>480000</v>
      </c>
      <c r="E467" s="70">
        <v>0</v>
      </c>
      <c r="F467" s="70"/>
      <c r="G467" s="101">
        <v>0</v>
      </c>
      <c r="H467" s="47">
        <f t="shared" si="53"/>
        <v>0</v>
      </c>
      <c r="I467" s="101">
        <v>0</v>
      </c>
      <c r="J467" s="34">
        <v>0</v>
      </c>
    </row>
    <row r="468" spans="1:10" x14ac:dyDescent="0.2">
      <c r="A468" s="92">
        <v>3634</v>
      </c>
      <c r="B468" s="137" t="s">
        <v>587</v>
      </c>
      <c r="C468" s="106">
        <f>SUM(C469:C473)</f>
        <v>0</v>
      </c>
      <c r="D468" s="106">
        <f>SUM(D469:D473)</f>
        <v>11208835.74</v>
      </c>
      <c r="E468" s="106">
        <v>10954884.83</v>
      </c>
      <c r="F468" s="47">
        <f>SUM(E469:E473)</f>
        <v>10954884.83</v>
      </c>
      <c r="G468" s="100">
        <v>0</v>
      </c>
      <c r="H468" s="106">
        <f t="shared" si="53"/>
        <v>97.734368529518662</v>
      </c>
      <c r="I468" s="100">
        <v>0</v>
      </c>
      <c r="J468" s="34">
        <v>0</v>
      </c>
    </row>
    <row r="469" spans="1:10" x14ac:dyDescent="0.2">
      <c r="A469" s="287" t="s">
        <v>588</v>
      </c>
      <c r="B469" s="294" t="s">
        <v>589</v>
      </c>
      <c r="C469" s="70">
        <v>0</v>
      </c>
      <c r="D469" s="70">
        <f>1800000+200000+100000+150000-156614.6</f>
        <v>2093385.4</v>
      </c>
      <c r="E469" s="70">
        <v>2093385.4</v>
      </c>
      <c r="F469" s="70"/>
      <c r="G469" s="101">
        <v>0</v>
      </c>
      <c r="H469" s="47">
        <f t="shared" si="53"/>
        <v>100</v>
      </c>
      <c r="I469" s="101">
        <v>0</v>
      </c>
      <c r="J469" s="34">
        <v>0</v>
      </c>
    </row>
    <row r="470" spans="1:10" x14ac:dyDescent="0.2">
      <c r="A470" s="287" t="s">
        <v>590</v>
      </c>
      <c r="B470" s="294" t="s">
        <v>591</v>
      </c>
      <c r="C470" s="70">
        <v>0</v>
      </c>
      <c r="D470" s="70">
        <f>3400000-100000-600000</f>
        <v>2700000</v>
      </c>
      <c r="E470" s="70">
        <v>2501518.9500000002</v>
      </c>
      <c r="F470" s="70"/>
      <c r="G470" s="101">
        <v>0</v>
      </c>
      <c r="H470" s="47">
        <f t="shared" si="53"/>
        <v>92.64885000000001</v>
      </c>
      <c r="I470" s="101">
        <v>0</v>
      </c>
      <c r="J470" s="34">
        <v>0</v>
      </c>
    </row>
    <row r="471" spans="1:10" x14ac:dyDescent="0.2">
      <c r="A471" s="287" t="s">
        <v>592</v>
      </c>
      <c r="B471" s="294" t="s">
        <v>593</v>
      </c>
      <c r="C471" s="70">
        <v>0</v>
      </c>
      <c r="D471" s="70">
        <f>2600000-400000</f>
        <v>2200000</v>
      </c>
      <c r="E471" s="70">
        <v>2144530.14</v>
      </c>
      <c r="F471" s="70"/>
      <c r="G471" s="101">
        <v>0</v>
      </c>
      <c r="H471" s="47">
        <f t="shared" si="53"/>
        <v>97.478642727272728</v>
      </c>
      <c r="I471" s="101">
        <v>0</v>
      </c>
      <c r="J471" s="34">
        <v>0</v>
      </c>
    </row>
    <row r="472" spans="1:10" x14ac:dyDescent="0.2">
      <c r="A472" s="287" t="s">
        <v>594</v>
      </c>
      <c r="B472" s="294" t="s">
        <v>595</v>
      </c>
      <c r="C472" s="70">
        <v>0</v>
      </c>
      <c r="D472" s="70">
        <f>2600000-150000-160000-212734.51</f>
        <v>2077265.49</v>
      </c>
      <c r="E472" s="70">
        <v>2077265.49</v>
      </c>
      <c r="F472" s="70"/>
      <c r="G472" s="101">
        <v>0</v>
      </c>
      <c r="H472" s="47">
        <f t="shared" si="53"/>
        <v>100</v>
      </c>
      <c r="I472" s="101">
        <v>0</v>
      </c>
      <c r="J472" s="34">
        <v>0</v>
      </c>
    </row>
    <row r="473" spans="1:10" ht="13.5" thickBot="1" x14ac:dyDescent="0.25">
      <c r="A473" s="287" t="s">
        <v>596</v>
      </c>
      <c r="B473" s="294" t="s">
        <v>597</v>
      </c>
      <c r="C473" s="70">
        <v>0</v>
      </c>
      <c r="D473" s="70">
        <f>2600000-200000-261815.15</f>
        <v>2138184.85</v>
      </c>
      <c r="E473" s="70">
        <v>2138184.85</v>
      </c>
      <c r="F473" s="70"/>
      <c r="G473" s="101">
        <v>0</v>
      </c>
      <c r="H473" s="47">
        <f t="shared" si="53"/>
        <v>100</v>
      </c>
      <c r="I473" s="101">
        <v>0</v>
      </c>
      <c r="J473" s="34">
        <v>0</v>
      </c>
    </row>
    <row r="474" spans="1:10" ht="16.5" thickBot="1" x14ac:dyDescent="0.3">
      <c r="A474" s="295"/>
      <c r="B474" s="86" t="s">
        <v>598</v>
      </c>
      <c r="C474" s="299">
        <f>SUM(C475,C481,C484,C494,C496)</f>
        <v>37960000</v>
      </c>
      <c r="D474" s="299">
        <f>SUM(D475,D481,D484,D494,D496)</f>
        <v>24799920</v>
      </c>
      <c r="E474" s="128">
        <v>21592178.59</v>
      </c>
      <c r="F474" s="196">
        <f>SUM(E475,E481,E484,E494,E496)</f>
        <v>21592178.59</v>
      </c>
      <c r="G474" s="89">
        <f t="shared" si="52"/>
        <v>56.881397760800844</v>
      </c>
      <c r="H474" s="89">
        <f t="shared" si="53"/>
        <v>87.065517106506789</v>
      </c>
      <c r="I474" s="89">
        <f t="shared" si="54"/>
        <v>101.79102293772289</v>
      </c>
      <c r="J474" s="34">
        <v>21212262.109999999</v>
      </c>
    </row>
    <row r="475" spans="1:10" x14ac:dyDescent="0.2">
      <c r="A475" s="269">
        <v>3412</v>
      </c>
      <c r="B475" s="225" t="s">
        <v>599</v>
      </c>
      <c r="C475" s="131">
        <f t="shared" ref="C475:D475" si="59">SUM(C476:C480)</f>
        <v>11000000</v>
      </c>
      <c r="D475" s="131">
        <f t="shared" si="59"/>
        <v>2319920</v>
      </c>
      <c r="E475" s="106">
        <v>193600</v>
      </c>
      <c r="F475" s="47">
        <f>SUM(E476:E480)</f>
        <v>193600</v>
      </c>
      <c r="G475" s="100">
        <f t="shared" si="52"/>
        <v>1.76</v>
      </c>
      <c r="H475" s="106">
        <f t="shared" si="53"/>
        <v>8.3451153488051304</v>
      </c>
      <c r="I475" s="100">
        <v>0</v>
      </c>
      <c r="J475" s="34">
        <v>0</v>
      </c>
    </row>
    <row r="476" spans="1:10" x14ac:dyDescent="0.2">
      <c r="A476" s="234" t="s">
        <v>600</v>
      </c>
      <c r="B476" s="152" t="s">
        <v>601</v>
      </c>
      <c r="C476" s="70">
        <v>9200000</v>
      </c>
      <c r="D476" s="70">
        <f>9200000-9000000</f>
        <v>200000</v>
      </c>
      <c r="E476" s="70">
        <v>193600</v>
      </c>
      <c r="F476" s="70"/>
      <c r="G476" s="101">
        <f t="shared" si="52"/>
        <v>2.1043478260869568</v>
      </c>
      <c r="H476" s="47">
        <f t="shared" si="53"/>
        <v>96.8</v>
      </c>
      <c r="I476" s="101">
        <v>0</v>
      </c>
      <c r="J476" s="34">
        <v>0</v>
      </c>
    </row>
    <row r="477" spans="1:10" x14ac:dyDescent="0.2">
      <c r="A477" s="234" t="s">
        <v>602</v>
      </c>
      <c r="B477" s="152" t="s">
        <v>603</v>
      </c>
      <c r="C477" s="70">
        <v>900000</v>
      </c>
      <c r="D477" s="70">
        <f>900000+84940</f>
        <v>984940</v>
      </c>
      <c r="E477" s="70">
        <v>0</v>
      </c>
      <c r="F477" s="70"/>
      <c r="G477" s="101">
        <f t="shared" si="52"/>
        <v>0</v>
      </c>
      <c r="H477" s="47">
        <f t="shared" si="53"/>
        <v>0</v>
      </c>
      <c r="I477" s="101">
        <v>0</v>
      </c>
      <c r="J477" s="34">
        <v>0</v>
      </c>
    </row>
    <row r="478" spans="1:10" x14ac:dyDescent="0.2">
      <c r="A478" s="234" t="s">
        <v>604</v>
      </c>
      <c r="B478" s="152" t="s">
        <v>605</v>
      </c>
      <c r="C478" s="70">
        <v>300000</v>
      </c>
      <c r="D478" s="70">
        <f>300000+26700</f>
        <v>326700</v>
      </c>
      <c r="E478" s="70">
        <v>0</v>
      </c>
      <c r="F478" s="70"/>
      <c r="G478" s="101">
        <f t="shared" si="52"/>
        <v>0</v>
      </c>
      <c r="H478" s="47">
        <f t="shared" si="53"/>
        <v>0</v>
      </c>
      <c r="I478" s="101">
        <v>0</v>
      </c>
      <c r="J478" s="34">
        <v>0</v>
      </c>
    </row>
    <row r="479" spans="1:10" x14ac:dyDescent="0.2">
      <c r="A479" s="234" t="s">
        <v>606</v>
      </c>
      <c r="B479" s="152" t="s">
        <v>607</v>
      </c>
      <c r="C479" s="70">
        <v>250000</v>
      </c>
      <c r="D479" s="70">
        <f>250000+399900-79980</f>
        <v>569920</v>
      </c>
      <c r="E479" s="70">
        <v>0</v>
      </c>
      <c r="F479" s="70"/>
      <c r="G479" s="101">
        <f t="shared" si="52"/>
        <v>0</v>
      </c>
      <c r="H479" s="47">
        <f t="shared" si="53"/>
        <v>0</v>
      </c>
      <c r="I479" s="101">
        <v>0</v>
      </c>
      <c r="J479" s="34">
        <v>0</v>
      </c>
    </row>
    <row r="480" spans="1:10" x14ac:dyDescent="0.2">
      <c r="A480" s="234" t="s">
        <v>608</v>
      </c>
      <c r="B480" s="152" t="s">
        <v>609</v>
      </c>
      <c r="C480" s="70">
        <f>2300000-1950000</f>
        <v>350000</v>
      </c>
      <c r="D480" s="70">
        <f>2300000-1950000-111640</f>
        <v>238360</v>
      </c>
      <c r="E480" s="70">
        <v>0</v>
      </c>
      <c r="F480" s="70"/>
      <c r="G480" s="101">
        <f t="shared" si="52"/>
        <v>0</v>
      </c>
      <c r="H480" s="47">
        <f t="shared" si="53"/>
        <v>0</v>
      </c>
      <c r="I480" s="101">
        <v>0</v>
      </c>
      <c r="J480" s="34">
        <v>0</v>
      </c>
    </row>
    <row r="481" spans="1:10" x14ac:dyDescent="0.2">
      <c r="A481" s="97">
        <v>3613</v>
      </c>
      <c r="B481" s="98" t="s">
        <v>610</v>
      </c>
      <c r="C481" s="114">
        <f>SUM(C482:C483)</f>
        <v>550000</v>
      </c>
      <c r="D481" s="114">
        <f>SUM(D482:D483)</f>
        <v>250000</v>
      </c>
      <c r="E481" s="114">
        <v>208120</v>
      </c>
      <c r="F481" s="70">
        <f>SUM(E482:E483)</f>
        <v>208120</v>
      </c>
      <c r="G481" s="100">
        <f t="shared" si="52"/>
        <v>37.840000000000003</v>
      </c>
      <c r="H481" s="106">
        <f t="shared" si="53"/>
        <v>83.248000000000005</v>
      </c>
      <c r="I481" s="100">
        <f t="shared" si="54"/>
        <v>11.675289094676362</v>
      </c>
      <c r="J481" s="34">
        <v>1782568.28</v>
      </c>
    </row>
    <row r="482" spans="1:10" x14ac:dyDescent="0.2">
      <c r="A482" s="234" t="s">
        <v>611</v>
      </c>
      <c r="B482" s="152" t="s">
        <v>612</v>
      </c>
      <c r="C482" s="70">
        <v>250000</v>
      </c>
      <c r="D482" s="70">
        <v>250000</v>
      </c>
      <c r="E482" s="104">
        <v>208120</v>
      </c>
      <c r="F482" s="300"/>
      <c r="G482" s="101">
        <f t="shared" si="52"/>
        <v>83.248000000000005</v>
      </c>
      <c r="H482" s="47">
        <f t="shared" si="53"/>
        <v>83.248000000000005</v>
      </c>
      <c r="I482" s="101">
        <v>0</v>
      </c>
      <c r="J482" s="34">
        <v>0</v>
      </c>
    </row>
    <row r="483" spans="1:10" x14ac:dyDescent="0.2">
      <c r="A483" s="234" t="s">
        <v>358</v>
      </c>
      <c r="B483" s="152" t="s">
        <v>613</v>
      </c>
      <c r="C483" s="70">
        <v>300000</v>
      </c>
      <c r="D483" s="70">
        <f>300000-300000</f>
        <v>0</v>
      </c>
      <c r="E483" s="260">
        <v>0</v>
      </c>
      <c r="F483" s="133"/>
      <c r="G483" s="101">
        <f t="shared" si="52"/>
        <v>0</v>
      </c>
      <c r="H483" s="47">
        <v>0</v>
      </c>
      <c r="I483" s="101">
        <v>0</v>
      </c>
      <c r="J483" s="34">
        <v>0</v>
      </c>
    </row>
    <row r="484" spans="1:10" x14ac:dyDescent="0.2">
      <c r="A484" s="97">
        <v>3631</v>
      </c>
      <c r="B484" s="98" t="s">
        <v>614</v>
      </c>
      <c r="C484" s="114">
        <f>SUM(C485:C493)</f>
        <v>8410000</v>
      </c>
      <c r="D484" s="114">
        <f>SUM(D485:D493)</f>
        <v>5970000</v>
      </c>
      <c r="E484" s="301">
        <v>5558337.5199999996</v>
      </c>
      <c r="F484" s="260">
        <f>SUM(E485:E489)</f>
        <v>5558337.5199999996</v>
      </c>
      <c r="G484" s="100">
        <f t="shared" si="52"/>
        <v>66.09200380499405</v>
      </c>
      <c r="H484" s="106">
        <f t="shared" si="53"/>
        <v>93.104481072026786</v>
      </c>
      <c r="I484" s="100">
        <f t="shared" si="54"/>
        <v>281.76767934891302</v>
      </c>
      <c r="J484" s="19">
        <v>1972666.82</v>
      </c>
    </row>
    <row r="485" spans="1:10" x14ac:dyDescent="0.2">
      <c r="A485" s="234" t="s">
        <v>374</v>
      </c>
      <c r="B485" s="152" t="s">
        <v>375</v>
      </c>
      <c r="C485" s="70">
        <v>80000</v>
      </c>
      <c r="D485" s="70">
        <f>80000-80000</f>
        <v>0</v>
      </c>
      <c r="E485" s="260">
        <v>0</v>
      </c>
      <c r="F485" s="260"/>
      <c r="G485" s="101">
        <f t="shared" si="52"/>
        <v>0</v>
      </c>
      <c r="H485" s="47">
        <v>0</v>
      </c>
      <c r="I485" s="101">
        <v>0</v>
      </c>
      <c r="J485" s="19">
        <v>0</v>
      </c>
    </row>
    <row r="486" spans="1:10" x14ac:dyDescent="0.2">
      <c r="A486" s="234" t="s">
        <v>615</v>
      </c>
      <c r="B486" s="152" t="s">
        <v>616</v>
      </c>
      <c r="C486" s="70">
        <v>5900000</v>
      </c>
      <c r="D486" s="70">
        <f>5900000-19000</f>
        <v>5881000</v>
      </c>
      <c r="E486" s="260">
        <v>5546337.5199999996</v>
      </c>
      <c r="F486" s="260"/>
      <c r="G486" s="101">
        <f t="shared" si="52"/>
        <v>94.005720677966096</v>
      </c>
      <c r="H486" s="47">
        <f t="shared" si="53"/>
        <v>94.309429008671984</v>
      </c>
      <c r="I486" s="101">
        <f t="shared" si="54"/>
        <v>4541.9341926396637</v>
      </c>
      <c r="J486" s="34">
        <v>122114</v>
      </c>
    </row>
    <row r="487" spans="1:10" x14ac:dyDescent="0.2">
      <c r="A487" s="234" t="s">
        <v>617</v>
      </c>
      <c r="B487" s="152" t="s">
        <v>618</v>
      </c>
      <c r="C487" s="70">
        <v>60000</v>
      </c>
      <c r="D487" s="70">
        <v>60000</v>
      </c>
      <c r="E487" s="302">
        <v>12000</v>
      </c>
      <c r="F487" s="300"/>
      <c r="G487" s="101">
        <f t="shared" si="52"/>
        <v>20</v>
      </c>
      <c r="H487" s="47">
        <f t="shared" si="53"/>
        <v>20</v>
      </c>
      <c r="I487" s="101">
        <v>0</v>
      </c>
      <c r="J487" s="34">
        <v>0</v>
      </c>
    </row>
    <row r="488" spans="1:10" x14ac:dyDescent="0.2">
      <c r="A488" s="234" t="s">
        <v>376</v>
      </c>
      <c r="B488" s="152" t="s">
        <v>377</v>
      </c>
      <c r="C488" s="70">
        <v>50000</v>
      </c>
      <c r="D488" s="70">
        <f>50000-50000</f>
        <v>0</v>
      </c>
      <c r="E488" s="261">
        <v>0</v>
      </c>
      <c r="F488" s="261"/>
      <c r="G488" s="101">
        <f t="shared" ref="G488:G550" si="60">E488/C488*100</f>
        <v>0</v>
      </c>
      <c r="H488" s="47">
        <v>0</v>
      </c>
      <c r="I488" s="101">
        <v>0</v>
      </c>
      <c r="J488" s="19">
        <v>0</v>
      </c>
    </row>
    <row r="489" spans="1:10" x14ac:dyDescent="0.2">
      <c r="A489" s="234" t="s">
        <v>378</v>
      </c>
      <c r="B489" s="152" t="s">
        <v>379</v>
      </c>
      <c r="C489" s="70">
        <v>60000</v>
      </c>
      <c r="D489" s="70">
        <f>60000-60000</f>
        <v>0</v>
      </c>
      <c r="E489" s="261">
        <v>0</v>
      </c>
      <c r="F489" s="261"/>
      <c r="G489" s="101">
        <f t="shared" si="60"/>
        <v>0</v>
      </c>
      <c r="H489" s="47">
        <v>0</v>
      </c>
      <c r="I489" s="101">
        <v>0</v>
      </c>
      <c r="J489" s="19">
        <v>0</v>
      </c>
    </row>
    <row r="490" spans="1:10" x14ac:dyDescent="0.2">
      <c r="A490" s="234" t="s">
        <v>619</v>
      </c>
      <c r="B490" s="152" t="s">
        <v>620</v>
      </c>
      <c r="C490" s="70">
        <v>10000</v>
      </c>
      <c r="D490" s="70">
        <v>10000</v>
      </c>
      <c r="E490" s="70">
        <v>0</v>
      </c>
      <c r="F490" s="70"/>
      <c r="G490" s="101">
        <f t="shared" si="60"/>
        <v>0</v>
      </c>
      <c r="H490" s="47">
        <f t="shared" ref="H490:H550" si="61">E490/D490*100</f>
        <v>0</v>
      </c>
      <c r="I490" s="101">
        <f t="shared" ref="I490:I550" si="62">E490/J490*100</f>
        <v>0</v>
      </c>
      <c r="J490" s="34">
        <v>65945</v>
      </c>
    </row>
    <row r="491" spans="1:10" x14ac:dyDescent="0.2">
      <c r="A491" s="234" t="s">
        <v>380</v>
      </c>
      <c r="B491" s="152" t="s">
        <v>381</v>
      </c>
      <c r="C491" s="70">
        <v>450000</v>
      </c>
      <c r="D491" s="70">
        <f>450000-450000</f>
        <v>0</v>
      </c>
      <c r="E491" s="70">
        <v>0</v>
      </c>
      <c r="F491" s="70"/>
      <c r="G491" s="101">
        <f t="shared" si="60"/>
        <v>0</v>
      </c>
      <c r="H491" s="47">
        <v>0</v>
      </c>
      <c r="I491" s="101">
        <v>0</v>
      </c>
      <c r="J491" s="19">
        <v>0</v>
      </c>
    </row>
    <row r="492" spans="1:10" x14ac:dyDescent="0.2">
      <c r="A492" s="234" t="s">
        <v>621</v>
      </c>
      <c r="B492" s="152" t="s">
        <v>622</v>
      </c>
      <c r="C492" s="70">
        <v>1800000</v>
      </c>
      <c r="D492" s="70">
        <f>1800000-1800000</f>
        <v>0</v>
      </c>
      <c r="E492" s="70">
        <v>0</v>
      </c>
      <c r="F492" s="70"/>
      <c r="G492" s="101">
        <f t="shared" si="60"/>
        <v>0</v>
      </c>
      <c r="H492" s="47">
        <v>0</v>
      </c>
      <c r="I492" s="101">
        <v>0</v>
      </c>
      <c r="J492" s="34">
        <v>0</v>
      </c>
    </row>
    <row r="493" spans="1:10" x14ac:dyDescent="0.2">
      <c r="A493" s="234" t="s">
        <v>623</v>
      </c>
      <c r="B493" s="152" t="s">
        <v>624</v>
      </c>
      <c r="C493" s="70">
        <v>0</v>
      </c>
      <c r="D493" s="70">
        <v>19000</v>
      </c>
      <c r="E493" s="70">
        <v>0</v>
      </c>
      <c r="F493" s="70"/>
      <c r="G493" s="101">
        <v>0</v>
      </c>
      <c r="H493" s="47">
        <f t="shared" si="61"/>
        <v>0</v>
      </c>
      <c r="I493" s="101">
        <v>0</v>
      </c>
      <c r="J493" s="34">
        <v>6050</v>
      </c>
    </row>
    <row r="494" spans="1:10" x14ac:dyDescent="0.2">
      <c r="A494" s="97">
        <v>3632</v>
      </c>
      <c r="B494" s="98" t="s">
        <v>625</v>
      </c>
      <c r="C494" s="114">
        <f>SUM(C495:C495)</f>
        <v>0</v>
      </c>
      <c r="D494" s="114">
        <f>SUM(D495:D495)</f>
        <v>20000</v>
      </c>
      <c r="E494" s="114">
        <v>8000</v>
      </c>
      <c r="F494" s="114"/>
      <c r="G494" s="100">
        <v>0</v>
      </c>
      <c r="H494" s="106">
        <f t="shared" si="61"/>
        <v>40</v>
      </c>
      <c r="I494" s="100">
        <v>0</v>
      </c>
      <c r="J494" s="34">
        <v>0</v>
      </c>
    </row>
    <row r="495" spans="1:10" s="21" customFormat="1" x14ac:dyDescent="0.2">
      <c r="A495" s="226" t="s">
        <v>626</v>
      </c>
      <c r="B495" s="237" t="s">
        <v>627</v>
      </c>
      <c r="C495" s="70">
        <v>0</v>
      </c>
      <c r="D495" s="70">
        <f>450000-430000</f>
        <v>20000</v>
      </c>
      <c r="E495" s="145">
        <v>8000</v>
      </c>
      <c r="F495" s="145"/>
      <c r="G495" s="101">
        <v>0</v>
      </c>
      <c r="H495" s="47">
        <f t="shared" si="61"/>
        <v>40</v>
      </c>
      <c r="I495" s="101">
        <v>0</v>
      </c>
      <c r="J495" s="19">
        <v>0</v>
      </c>
    </row>
    <row r="496" spans="1:10" x14ac:dyDescent="0.2">
      <c r="A496" s="92">
        <v>3633</v>
      </c>
      <c r="B496" s="93" t="s">
        <v>628</v>
      </c>
      <c r="C496" s="106">
        <f t="shared" ref="C496:D496" si="63">SUM(C497:C498)</f>
        <v>18000000</v>
      </c>
      <c r="D496" s="106">
        <f t="shared" si="63"/>
        <v>16240000</v>
      </c>
      <c r="E496" s="114">
        <v>15624121.07</v>
      </c>
      <c r="F496" s="70">
        <f>SUM(E497:E498)</f>
        <v>15624121.07</v>
      </c>
      <c r="G496" s="100">
        <f t="shared" si="60"/>
        <v>86.800672611111125</v>
      </c>
      <c r="H496" s="106">
        <f t="shared" si="61"/>
        <v>96.207642056650243</v>
      </c>
      <c r="I496" s="100">
        <f t="shared" si="62"/>
        <v>89.500469129422513</v>
      </c>
      <c r="J496" s="34">
        <v>17457027.010000002</v>
      </c>
    </row>
    <row r="497" spans="1:10" x14ac:dyDescent="0.2">
      <c r="A497" s="234" t="s">
        <v>629</v>
      </c>
      <c r="B497" s="152" t="s">
        <v>630</v>
      </c>
      <c r="C497" s="70">
        <v>0</v>
      </c>
      <c r="D497" s="70">
        <v>3200000</v>
      </c>
      <c r="E497" s="70">
        <v>3200000</v>
      </c>
      <c r="F497" s="70"/>
      <c r="G497" s="101">
        <v>0</v>
      </c>
      <c r="H497" s="47">
        <f t="shared" si="61"/>
        <v>100</v>
      </c>
      <c r="I497" s="101">
        <v>0</v>
      </c>
      <c r="J497" s="34">
        <v>0</v>
      </c>
    </row>
    <row r="498" spans="1:10" ht="13.5" thickBot="1" x14ac:dyDescent="0.25">
      <c r="A498" s="234" t="s">
        <v>631</v>
      </c>
      <c r="B498" s="152" t="s">
        <v>632</v>
      </c>
      <c r="C498" s="70">
        <f>20000000-2000000</f>
        <v>18000000</v>
      </c>
      <c r="D498" s="70">
        <f>20000000-2000000-1600000+(-160000-2000000-900000)-300000</f>
        <v>13040000</v>
      </c>
      <c r="E498" s="125">
        <v>12424121.07</v>
      </c>
      <c r="F498" s="125"/>
      <c r="G498" s="101">
        <f t="shared" si="60"/>
        <v>69.022894833333339</v>
      </c>
      <c r="H498" s="47">
        <f t="shared" si="61"/>
        <v>95.277002070552157</v>
      </c>
      <c r="I498" s="101">
        <f t="shared" si="62"/>
        <v>71.169741920448573</v>
      </c>
      <c r="J498" s="34">
        <v>17457027.010000002</v>
      </c>
    </row>
    <row r="499" spans="1:10" ht="16.5" thickBot="1" x14ac:dyDescent="0.3">
      <c r="A499" s="295"/>
      <c r="B499" s="86" t="s">
        <v>633</v>
      </c>
      <c r="C499" s="128">
        <f>SUM(C500:C501)</f>
        <v>150000</v>
      </c>
      <c r="D499" s="128">
        <f>SUM(D500:D501)</f>
        <v>45000</v>
      </c>
      <c r="E499" s="128">
        <v>45000</v>
      </c>
      <c r="F499" s="196"/>
      <c r="G499" s="89">
        <f t="shared" si="60"/>
        <v>30</v>
      </c>
      <c r="H499" s="89">
        <f t="shared" si="61"/>
        <v>100</v>
      </c>
      <c r="I499" s="89">
        <f t="shared" si="62"/>
        <v>32.573997263784236</v>
      </c>
      <c r="J499" s="34">
        <v>138147</v>
      </c>
    </row>
    <row r="500" spans="1:10" x14ac:dyDescent="0.2">
      <c r="A500" s="303" t="s">
        <v>634</v>
      </c>
      <c r="B500" s="304" t="s">
        <v>635</v>
      </c>
      <c r="C500" s="70">
        <v>150000</v>
      </c>
      <c r="D500" s="70">
        <f>150000-105000</f>
        <v>45000</v>
      </c>
      <c r="E500" s="24">
        <v>45000</v>
      </c>
      <c r="F500" s="24"/>
      <c r="G500" s="47">
        <f t="shared" si="60"/>
        <v>30</v>
      </c>
      <c r="H500" s="47">
        <f t="shared" si="61"/>
        <v>100</v>
      </c>
      <c r="I500" s="101">
        <f t="shared" si="62"/>
        <v>32.573997263784236</v>
      </c>
      <c r="J500" s="34">
        <v>138147</v>
      </c>
    </row>
    <row r="501" spans="1:10" ht="13.5" thickBot="1" x14ac:dyDescent="0.25">
      <c r="A501" s="291"/>
      <c r="B501" s="305"/>
      <c r="C501" s="170"/>
      <c r="D501" s="170"/>
      <c r="E501" s="306"/>
      <c r="F501" s="306"/>
      <c r="G501" s="160"/>
      <c r="H501" s="160"/>
      <c r="I501" s="160"/>
    </row>
    <row r="502" spans="1:10" ht="21" thickBot="1" x14ac:dyDescent="0.25">
      <c r="A502" s="307"/>
      <c r="B502" s="308" t="s">
        <v>25</v>
      </c>
      <c r="C502" s="309">
        <f>SUM(C503:C503)</f>
        <v>15000</v>
      </c>
      <c r="D502" s="309">
        <f>SUM(D503:D503)</f>
        <v>15000</v>
      </c>
      <c r="E502" s="195">
        <v>10000</v>
      </c>
      <c r="F502" s="310">
        <f>SUM(E503)</f>
        <v>10000</v>
      </c>
      <c r="G502" s="195">
        <f t="shared" si="60"/>
        <v>66.666666666666657</v>
      </c>
      <c r="H502" s="195">
        <f t="shared" si="61"/>
        <v>66.666666666666657</v>
      </c>
      <c r="I502" s="195">
        <f t="shared" si="62"/>
        <v>0.37924210740288178</v>
      </c>
      <c r="J502" s="19">
        <v>2636838</v>
      </c>
    </row>
    <row r="503" spans="1:10" x14ac:dyDescent="0.2">
      <c r="A503" s="311">
        <v>2141</v>
      </c>
      <c r="B503" s="140" t="s">
        <v>636</v>
      </c>
      <c r="C503" s="106">
        <v>15000</v>
      </c>
      <c r="D503" s="106">
        <v>15000</v>
      </c>
      <c r="E503" s="106">
        <v>10000</v>
      </c>
      <c r="F503" s="312"/>
      <c r="G503" s="100">
        <f t="shared" si="60"/>
        <v>66.666666666666657</v>
      </c>
      <c r="H503" s="106">
        <f t="shared" si="61"/>
        <v>66.666666666666657</v>
      </c>
      <c r="I503" s="100">
        <f t="shared" si="62"/>
        <v>0.4849738138389218</v>
      </c>
      <c r="J503" s="34">
        <v>2061967</v>
      </c>
    </row>
    <row r="504" spans="1:10" s="76" customFormat="1" ht="12.75" customHeight="1" thickBot="1" x14ac:dyDescent="0.3">
      <c r="A504" s="293"/>
      <c r="B504" s="22"/>
      <c r="C504" s="125"/>
      <c r="D504" s="125"/>
      <c r="E504" s="313"/>
      <c r="F504" s="261"/>
      <c r="G504" s="47"/>
      <c r="H504" s="47"/>
      <c r="I504" s="47"/>
      <c r="J504" s="34"/>
    </row>
    <row r="505" spans="1:10" s="21" customFormat="1" ht="21" thickBot="1" x14ac:dyDescent="0.35">
      <c r="A505" s="295"/>
      <c r="B505" s="82" t="s">
        <v>637</v>
      </c>
      <c r="C505" s="195">
        <f t="shared" ref="C505:D505" si="64">SUM(C506:C509)</f>
        <v>11559056</v>
      </c>
      <c r="D505" s="195">
        <f t="shared" si="64"/>
        <v>12218557.33</v>
      </c>
      <c r="E505" s="195">
        <v>11878801.84</v>
      </c>
      <c r="F505" s="196">
        <f>SUM(E506:E509)</f>
        <v>11878801.839999998</v>
      </c>
      <c r="G505" s="195">
        <f t="shared" si="60"/>
        <v>102.76619336388715</v>
      </c>
      <c r="H505" s="195">
        <f t="shared" si="61"/>
        <v>97.219348562814332</v>
      </c>
      <c r="I505" s="195">
        <f t="shared" si="62"/>
        <v>135.80852847998597</v>
      </c>
      <c r="J505" s="19">
        <v>8746727.4499999993</v>
      </c>
    </row>
    <row r="506" spans="1:10" s="21" customFormat="1" ht="24.75" x14ac:dyDescent="0.2">
      <c r="A506" s="92">
        <v>2141</v>
      </c>
      <c r="B506" s="140" t="s">
        <v>638</v>
      </c>
      <c r="C506" s="106">
        <v>753000</v>
      </c>
      <c r="D506" s="106">
        <v>753000</v>
      </c>
      <c r="E506" s="314">
        <v>749367.36</v>
      </c>
      <c r="F506" s="106"/>
      <c r="G506" s="103">
        <f t="shared" si="60"/>
        <v>99.517577689243026</v>
      </c>
      <c r="H506" s="106">
        <f t="shared" si="61"/>
        <v>99.517577689243026</v>
      </c>
      <c r="I506" s="103">
        <f t="shared" si="62"/>
        <v>742.28139336268123</v>
      </c>
      <c r="J506" s="34">
        <v>100954.62</v>
      </c>
    </row>
    <row r="507" spans="1:10" s="21" customFormat="1" ht="60.75" x14ac:dyDescent="0.2">
      <c r="A507" s="97">
        <v>2143</v>
      </c>
      <c r="B507" s="113" t="s">
        <v>639</v>
      </c>
      <c r="C507" s="106">
        <f>9829876+150000+27280+9900</f>
        <v>10017056</v>
      </c>
      <c r="D507" s="106">
        <f>9829876+150000+27280+9900+(-130000-32240-11700)+275880+(44000+156000)+80000+(9608+2392)+20000+174200+1430+70000-68.67</f>
        <v>10676557.33</v>
      </c>
      <c r="E507" s="114">
        <v>10498333.67</v>
      </c>
      <c r="F507" s="114"/>
      <c r="G507" s="103">
        <f t="shared" si="60"/>
        <v>104.80458200493239</v>
      </c>
      <c r="H507" s="106">
        <f t="shared" si="61"/>
        <v>98.330701044434889</v>
      </c>
      <c r="I507" s="103">
        <f t="shared" si="62"/>
        <v>141.34079334998083</v>
      </c>
      <c r="J507" s="19">
        <v>7427674.2199999997</v>
      </c>
    </row>
    <row r="508" spans="1:10" s="21" customFormat="1" ht="24.75" x14ac:dyDescent="0.2">
      <c r="A508" s="97">
        <v>3399</v>
      </c>
      <c r="B508" s="113" t="s">
        <v>640</v>
      </c>
      <c r="C508" s="106">
        <v>174000</v>
      </c>
      <c r="D508" s="106">
        <v>174000</v>
      </c>
      <c r="E508" s="315">
        <v>28456.19</v>
      </c>
      <c r="F508" s="114"/>
      <c r="G508" s="103">
        <f t="shared" si="60"/>
        <v>16.354132183908046</v>
      </c>
      <c r="H508" s="106">
        <f t="shared" si="61"/>
        <v>16.354132183908046</v>
      </c>
      <c r="I508" s="103">
        <f t="shared" si="62"/>
        <v>323.89728144819452</v>
      </c>
      <c r="J508" s="34">
        <v>8785.56</v>
      </c>
    </row>
    <row r="509" spans="1:10" s="21" customFormat="1" ht="24.75" x14ac:dyDescent="0.2">
      <c r="A509" s="97">
        <v>6223</v>
      </c>
      <c r="B509" s="113" t="s">
        <v>641</v>
      </c>
      <c r="C509" s="106">
        <v>615000</v>
      </c>
      <c r="D509" s="106">
        <v>615000</v>
      </c>
      <c r="E509" s="315">
        <v>602644.62</v>
      </c>
      <c r="F509" s="114"/>
      <c r="G509" s="103">
        <f t="shared" si="60"/>
        <v>97.990995121951215</v>
      </c>
      <c r="H509" s="106">
        <f t="shared" si="61"/>
        <v>97.990995121951215</v>
      </c>
      <c r="I509" s="103">
        <f t="shared" si="62"/>
        <v>551.30172496362059</v>
      </c>
      <c r="J509" s="19">
        <v>109313.03</v>
      </c>
    </row>
    <row r="510" spans="1:10" s="21" customFormat="1" ht="13.5" thickBot="1" x14ac:dyDescent="0.25">
      <c r="A510" s="316"/>
      <c r="B510" s="158"/>
      <c r="C510" s="125"/>
      <c r="D510" s="125"/>
      <c r="E510" s="317"/>
      <c r="F510" s="317"/>
      <c r="G510" s="159"/>
      <c r="H510" s="159"/>
      <c r="I510" s="159"/>
      <c r="J510" s="19"/>
    </row>
    <row r="511" spans="1:10" s="21" customFormat="1" ht="21" thickBot="1" x14ac:dyDescent="0.25">
      <c r="A511" s="318"/>
      <c r="B511" s="319" t="s">
        <v>27</v>
      </c>
      <c r="C511" s="320">
        <f>SUM(C512,C514)</f>
        <v>8993247</v>
      </c>
      <c r="D511" s="320">
        <f>SUM(D512,D514)</f>
        <v>9225773</v>
      </c>
      <c r="E511" s="195">
        <v>9040621.1699999999</v>
      </c>
      <c r="F511" s="310">
        <f>SUM(E512,E514)</f>
        <v>9040621.1699999999</v>
      </c>
      <c r="G511" s="195">
        <f t="shared" si="60"/>
        <v>100.5267749234509</v>
      </c>
      <c r="H511" s="195">
        <f t="shared" si="61"/>
        <v>97.993102258206449</v>
      </c>
      <c r="I511" s="195">
        <f t="shared" si="62"/>
        <v>135.43133369126295</v>
      </c>
      <c r="J511" s="19">
        <v>6675428</v>
      </c>
    </row>
    <row r="512" spans="1:10" s="21" customFormat="1" x14ac:dyDescent="0.2">
      <c r="A512" s="144">
        <v>2223</v>
      </c>
      <c r="B512" s="183" t="s">
        <v>642</v>
      </c>
      <c r="C512" s="131">
        <v>76000</v>
      </c>
      <c r="D512" s="131">
        <v>76000</v>
      </c>
      <c r="E512" s="106">
        <v>69393.17</v>
      </c>
      <c r="F512" s="321"/>
      <c r="G512" s="106">
        <f t="shared" si="60"/>
        <v>91.306802631578947</v>
      </c>
      <c r="H512" s="106">
        <f t="shared" si="61"/>
        <v>91.306802631578947</v>
      </c>
      <c r="I512" s="106">
        <f t="shared" si="62"/>
        <v>140.5573627709135</v>
      </c>
      <c r="J512" s="34">
        <v>49370</v>
      </c>
    </row>
    <row r="513" spans="1:10" s="21" customFormat="1" x14ac:dyDescent="0.2">
      <c r="A513" s="144"/>
      <c r="B513" s="322" t="s">
        <v>643</v>
      </c>
      <c r="C513" s="47">
        <v>76000</v>
      </c>
      <c r="D513" s="47">
        <v>76000</v>
      </c>
      <c r="E513" s="70">
        <v>69393.17</v>
      </c>
      <c r="F513" s="261"/>
      <c r="G513" s="47">
        <f t="shared" si="60"/>
        <v>91.306802631578947</v>
      </c>
      <c r="H513" s="47">
        <f t="shared" si="61"/>
        <v>91.306802631578947</v>
      </c>
      <c r="I513" s="47">
        <f t="shared" si="62"/>
        <v>140.5573627709135</v>
      </c>
      <c r="J513" s="34">
        <v>49370</v>
      </c>
    </row>
    <row r="514" spans="1:10" s="21" customFormat="1" x14ac:dyDescent="0.2">
      <c r="A514" s="144">
        <v>2292</v>
      </c>
      <c r="B514" s="183" t="s">
        <v>644</v>
      </c>
      <c r="C514" s="106">
        <f>SUM(C515:C521)</f>
        <v>8917247</v>
      </c>
      <c r="D514" s="106">
        <f>SUM(D515:D521)</f>
        <v>9149773</v>
      </c>
      <c r="E514" s="103">
        <v>8971228</v>
      </c>
      <c r="F514" s="104">
        <f>SUM(E515:E521)</f>
        <v>8971228</v>
      </c>
      <c r="G514" s="106">
        <f t="shared" si="60"/>
        <v>100.60535499353107</v>
      </c>
      <c r="H514" s="106">
        <f t="shared" si="61"/>
        <v>98.048640113803913</v>
      </c>
      <c r="I514" s="106">
        <f t="shared" si="62"/>
        <v>135.39314023511415</v>
      </c>
      <c r="J514" s="34">
        <v>6626058</v>
      </c>
    </row>
    <row r="515" spans="1:10" s="21" customFormat="1" x14ac:dyDescent="0.2">
      <c r="A515" s="144"/>
      <c r="B515" s="237" t="s">
        <v>645</v>
      </c>
      <c r="C515" s="47">
        <v>2151067</v>
      </c>
      <c r="D515" s="47">
        <f>2151067</f>
        <v>2151067</v>
      </c>
      <c r="E515" s="104">
        <v>2151067</v>
      </c>
      <c r="F515" s="104"/>
      <c r="G515" s="47">
        <f t="shared" si="60"/>
        <v>100</v>
      </c>
      <c r="H515" s="47">
        <f t="shared" si="61"/>
        <v>100</v>
      </c>
      <c r="I515" s="47">
        <f t="shared" si="62"/>
        <v>193.36876369203276</v>
      </c>
      <c r="J515" s="34">
        <v>1112417</v>
      </c>
    </row>
    <row r="516" spans="1:10" s="21" customFormat="1" x14ac:dyDescent="0.2">
      <c r="A516" s="144"/>
      <c r="B516" s="237" t="s">
        <v>646</v>
      </c>
      <c r="C516" s="47">
        <f>5300000+500000+378000</f>
        <v>6178000</v>
      </c>
      <c r="D516" s="47">
        <f>5300000+500000+378000</f>
        <v>6178000</v>
      </c>
      <c r="E516" s="141">
        <v>6178000</v>
      </c>
      <c r="F516" s="141"/>
      <c r="G516" s="47">
        <f t="shared" si="60"/>
        <v>100</v>
      </c>
      <c r="H516" s="47">
        <f t="shared" si="61"/>
        <v>100</v>
      </c>
      <c r="I516" s="47">
        <f t="shared" si="62"/>
        <v>119.75188990114363</v>
      </c>
      <c r="J516" s="19">
        <v>5159000</v>
      </c>
    </row>
    <row r="517" spans="1:10" s="21" customFormat="1" x14ac:dyDescent="0.2">
      <c r="A517" s="144"/>
      <c r="B517" s="237" t="s">
        <v>647</v>
      </c>
      <c r="C517" s="47">
        <v>0</v>
      </c>
      <c r="D517" s="47">
        <v>232526</v>
      </c>
      <c r="E517" s="141">
        <v>232526</v>
      </c>
      <c r="F517" s="141"/>
      <c r="G517" s="47">
        <v>0</v>
      </c>
      <c r="H517" s="47">
        <f t="shared" si="61"/>
        <v>100</v>
      </c>
      <c r="I517" s="47">
        <v>0</v>
      </c>
      <c r="J517" s="19">
        <v>0</v>
      </c>
    </row>
    <row r="518" spans="1:10" s="21" customFormat="1" x14ac:dyDescent="0.2">
      <c r="A518" s="144"/>
      <c r="B518" s="263" t="s">
        <v>648</v>
      </c>
      <c r="C518" s="47">
        <v>46080</v>
      </c>
      <c r="D518" s="47">
        <f>46080+33408</f>
        <v>79488</v>
      </c>
      <c r="E518" s="323">
        <v>79488</v>
      </c>
      <c r="F518" s="323"/>
      <c r="G518" s="47">
        <f t="shared" si="60"/>
        <v>172.5</v>
      </c>
      <c r="H518" s="47">
        <f t="shared" si="61"/>
        <v>100</v>
      </c>
      <c r="I518" s="47">
        <f t="shared" si="62"/>
        <v>178.06451612903226</v>
      </c>
      <c r="J518" s="19">
        <v>44640</v>
      </c>
    </row>
    <row r="519" spans="1:10" s="21" customFormat="1" x14ac:dyDescent="0.2">
      <c r="A519" s="324"/>
      <c r="B519" s="325" t="s">
        <v>649</v>
      </c>
      <c r="C519" s="70">
        <v>530000</v>
      </c>
      <c r="D519" s="70">
        <f>530000-33408-3146</f>
        <v>493446</v>
      </c>
      <c r="E519" s="24">
        <v>327001</v>
      </c>
      <c r="F519" s="133"/>
      <c r="G519" s="47">
        <f t="shared" si="60"/>
        <v>61.69830188679245</v>
      </c>
      <c r="H519" s="47">
        <f t="shared" si="61"/>
        <v>66.268852113503812</v>
      </c>
      <c r="I519" s="47">
        <f t="shared" si="62"/>
        <v>124.99990443461608</v>
      </c>
      <c r="J519" s="326">
        <v>261601</v>
      </c>
    </row>
    <row r="520" spans="1:10" s="21" customFormat="1" x14ac:dyDescent="0.2">
      <c r="A520" s="324"/>
      <c r="B520" s="327" t="s">
        <v>650</v>
      </c>
      <c r="C520" s="70">
        <v>0</v>
      </c>
      <c r="D520" s="70">
        <v>3146</v>
      </c>
      <c r="E520" s="70">
        <v>3146</v>
      </c>
      <c r="F520" s="70"/>
      <c r="G520" s="47">
        <v>0</v>
      </c>
      <c r="H520" s="47">
        <f t="shared" si="61"/>
        <v>100</v>
      </c>
      <c r="I520" s="47">
        <v>0</v>
      </c>
      <c r="J520" s="328">
        <v>0</v>
      </c>
    </row>
    <row r="521" spans="1:10" s="21" customFormat="1" x14ac:dyDescent="0.2">
      <c r="A521" s="324"/>
      <c r="B521" s="327" t="s">
        <v>651</v>
      </c>
      <c r="C521" s="70">
        <v>12100</v>
      </c>
      <c r="D521" s="70">
        <v>12100</v>
      </c>
      <c r="E521" s="70">
        <v>0</v>
      </c>
      <c r="F521" s="70"/>
      <c r="G521" s="47">
        <f t="shared" si="60"/>
        <v>0</v>
      </c>
      <c r="H521" s="47">
        <f t="shared" si="61"/>
        <v>0</v>
      </c>
      <c r="I521" s="47">
        <v>0</v>
      </c>
      <c r="J521" s="328">
        <v>48400</v>
      </c>
    </row>
    <row r="522" spans="1:10" s="21" customFormat="1" ht="13.5" thickBot="1" x14ac:dyDescent="0.25">
      <c r="A522" s="329"/>
      <c r="B522" s="330"/>
      <c r="C522" s="170"/>
      <c r="D522" s="170"/>
      <c r="E522" s="125"/>
      <c r="F522" s="125"/>
      <c r="G522" s="160"/>
      <c r="H522" s="160"/>
      <c r="I522" s="160"/>
      <c r="J522" s="328"/>
    </row>
    <row r="523" spans="1:10" s="21" customFormat="1" ht="21" thickBot="1" x14ac:dyDescent="0.35">
      <c r="A523" s="229"/>
      <c r="B523" s="82" t="s">
        <v>28</v>
      </c>
      <c r="C523" s="79">
        <f>SUM(C524:C525)</f>
        <v>112000</v>
      </c>
      <c r="D523" s="79">
        <f>SUM(D524:D525)</f>
        <v>112000</v>
      </c>
      <c r="E523" s="195">
        <v>106821.08</v>
      </c>
      <c r="F523" s="196">
        <f>SUM(E524:E525)</f>
        <v>106821.08</v>
      </c>
      <c r="G523" s="195">
        <f t="shared" si="60"/>
        <v>95.375964285714289</v>
      </c>
      <c r="H523" s="195">
        <f t="shared" si="61"/>
        <v>95.375964285714289</v>
      </c>
      <c r="I523" s="195">
        <f t="shared" si="62"/>
        <v>225.15690950921058</v>
      </c>
      <c r="J523" s="328">
        <v>47442.95</v>
      </c>
    </row>
    <row r="524" spans="1:10" s="21" customFormat="1" ht="12.75" customHeight="1" x14ac:dyDescent="0.2">
      <c r="A524" s="144">
        <v>2223</v>
      </c>
      <c r="B524" s="98" t="s">
        <v>652</v>
      </c>
      <c r="C524" s="106">
        <v>100000</v>
      </c>
      <c r="D524" s="106">
        <v>100000</v>
      </c>
      <c r="E524" s="106">
        <v>104109.08</v>
      </c>
      <c r="F524" s="47"/>
      <c r="G524" s="106">
        <f t="shared" si="60"/>
        <v>104.10908000000001</v>
      </c>
      <c r="H524" s="106">
        <f t="shared" si="61"/>
        <v>104.10908000000001</v>
      </c>
      <c r="I524" s="106">
        <f t="shared" si="62"/>
        <v>223.49181406501737</v>
      </c>
      <c r="J524" s="19">
        <v>46582.95</v>
      </c>
    </row>
    <row r="525" spans="1:10" s="21" customFormat="1" x14ac:dyDescent="0.2">
      <c r="A525" s="144">
        <v>6171</v>
      </c>
      <c r="B525" s="98" t="s">
        <v>653</v>
      </c>
      <c r="C525" s="106">
        <v>12000</v>
      </c>
      <c r="D525" s="106">
        <v>12000</v>
      </c>
      <c r="E525" s="102">
        <v>2712</v>
      </c>
      <c r="F525" s="102"/>
      <c r="G525" s="106">
        <f t="shared" si="60"/>
        <v>22.6</v>
      </c>
      <c r="H525" s="106">
        <f t="shared" si="61"/>
        <v>22.6</v>
      </c>
      <c r="I525" s="106">
        <f t="shared" si="62"/>
        <v>315.34883720930236</v>
      </c>
      <c r="J525" s="34">
        <v>860</v>
      </c>
    </row>
    <row r="526" spans="1:10" s="21" customFormat="1" ht="13.5" thickBot="1" x14ac:dyDescent="0.25">
      <c r="A526" s="331"/>
      <c r="B526" s="332"/>
      <c r="C526" s="125"/>
      <c r="D526" s="125"/>
      <c r="E526" s="126"/>
      <c r="F526" s="160"/>
      <c r="G526" s="126"/>
      <c r="H526" s="126"/>
      <c r="I526" s="126"/>
      <c r="J526" s="34"/>
    </row>
    <row r="527" spans="1:10" s="21" customFormat="1" ht="21" thickBot="1" x14ac:dyDescent="0.35">
      <c r="A527" s="318"/>
      <c r="B527" s="82" t="s">
        <v>29</v>
      </c>
      <c r="C527" s="79">
        <f>SUM(C528:C529)</f>
        <v>750000</v>
      </c>
      <c r="D527" s="79">
        <f>SUM(D528:D529)</f>
        <v>1826000</v>
      </c>
      <c r="E527" s="195">
        <v>1079705.4099999999</v>
      </c>
      <c r="F527" s="196">
        <f>SUM(E528:E529)</f>
        <v>1079705.4099999999</v>
      </c>
      <c r="G527" s="195">
        <f t="shared" si="60"/>
        <v>143.96072133333334</v>
      </c>
      <c r="H527" s="195">
        <f t="shared" si="61"/>
        <v>59.129540525739323</v>
      </c>
      <c r="I527" s="195">
        <v>0</v>
      </c>
      <c r="J527" s="34">
        <v>738547.49</v>
      </c>
    </row>
    <row r="528" spans="1:10" s="21" customFormat="1" x14ac:dyDescent="0.2">
      <c r="A528" s="228">
        <v>6115</v>
      </c>
      <c r="B528" s="93" t="s">
        <v>654</v>
      </c>
      <c r="C528" s="106">
        <v>500000</v>
      </c>
      <c r="D528" s="106">
        <f>500000+1076000</f>
        <v>1576000</v>
      </c>
      <c r="E528" s="106">
        <v>1079705.4099999999</v>
      </c>
      <c r="F528" s="47"/>
      <c r="G528" s="106">
        <f t="shared" si="60"/>
        <v>215.94108199999997</v>
      </c>
      <c r="H528" s="106">
        <f t="shared" si="61"/>
        <v>68.509226522842638</v>
      </c>
      <c r="I528" s="106">
        <v>0</v>
      </c>
      <c r="J528" s="328">
        <v>0</v>
      </c>
    </row>
    <row r="529" spans="1:10" s="21" customFormat="1" x14ac:dyDescent="0.2">
      <c r="A529" s="144">
        <v>6118</v>
      </c>
      <c r="B529" s="98" t="s">
        <v>655</v>
      </c>
      <c r="C529" s="114">
        <v>250000</v>
      </c>
      <c r="D529" s="114">
        <v>250000</v>
      </c>
      <c r="E529" s="114">
        <v>0</v>
      </c>
      <c r="F529" s="70"/>
      <c r="G529" s="106">
        <f t="shared" si="60"/>
        <v>0</v>
      </c>
      <c r="H529" s="106">
        <f t="shared" si="61"/>
        <v>0</v>
      </c>
      <c r="I529" s="106">
        <v>0</v>
      </c>
      <c r="J529" s="328">
        <v>0</v>
      </c>
    </row>
    <row r="530" spans="1:10" s="21" customFormat="1" ht="13.5" thickBot="1" x14ac:dyDescent="0.25">
      <c r="A530" s="331"/>
      <c r="B530" s="333"/>
      <c r="C530" s="123"/>
      <c r="D530" s="123"/>
      <c r="E530" s="125"/>
      <c r="F530" s="125"/>
      <c r="G530" s="160"/>
      <c r="H530" s="160"/>
      <c r="I530" s="160"/>
      <c r="J530" s="328"/>
    </row>
    <row r="531" spans="1:10" s="73" customFormat="1" ht="21" thickBot="1" x14ac:dyDescent="0.35">
      <c r="A531" s="267"/>
      <c r="B531" s="334" t="s">
        <v>30</v>
      </c>
      <c r="C531" s="79">
        <f>C532+C584+C607</f>
        <v>158341864.90000001</v>
      </c>
      <c r="D531" s="79">
        <f>D532+D584+D607</f>
        <v>175059518.31999999</v>
      </c>
      <c r="E531" s="320">
        <v>173672638.78</v>
      </c>
      <c r="F531" s="335">
        <f>SUM(E532,E584,E607)</f>
        <v>173672638.78</v>
      </c>
      <c r="G531" s="195">
        <f t="shared" si="60"/>
        <v>109.68207232476519</v>
      </c>
      <c r="H531" s="195">
        <f t="shared" si="61"/>
        <v>99.207766847921491</v>
      </c>
      <c r="I531" s="195">
        <f t="shared" si="62"/>
        <v>121.34363464478093</v>
      </c>
      <c r="J531" s="328">
        <v>143124638.78999999</v>
      </c>
    </row>
    <row r="532" spans="1:10" s="73" customFormat="1" ht="16.5" customHeight="1" thickBot="1" x14ac:dyDescent="0.3">
      <c r="A532" s="295"/>
      <c r="B532" s="336" t="s">
        <v>656</v>
      </c>
      <c r="C532" s="337">
        <f>SUM(C533,C552,C583,C578)</f>
        <v>72664083.620000005</v>
      </c>
      <c r="D532" s="337">
        <f>SUM(D533,D552,D583,D578)</f>
        <v>91999380.280000001</v>
      </c>
      <c r="E532" s="128">
        <v>91978225.680000007</v>
      </c>
      <c r="F532" s="196">
        <f>SUM(E533,E552,E578,E583)</f>
        <v>91978225.680000007</v>
      </c>
      <c r="G532" s="128">
        <f t="shared" si="60"/>
        <v>126.58003940571815</v>
      </c>
      <c r="H532" s="128">
        <f t="shared" si="61"/>
        <v>99.977005714673723</v>
      </c>
      <c r="I532" s="128">
        <f t="shared" si="62"/>
        <v>126.84554079619627</v>
      </c>
      <c r="J532" s="326">
        <v>72511989.859999999</v>
      </c>
    </row>
    <row r="533" spans="1:10" s="73" customFormat="1" x14ac:dyDescent="0.2">
      <c r="A533" s="92">
        <v>3111</v>
      </c>
      <c r="B533" s="140" t="s">
        <v>528</v>
      </c>
      <c r="C533" s="338">
        <f>SUM(C534:C536)</f>
        <v>15486000</v>
      </c>
      <c r="D533" s="338">
        <f>SUM(D534:D536)</f>
        <v>13498893.819999998</v>
      </c>
      <c r="E533" s="339">
        <v>13498893.82</v>
      </c>
      <c r="F533" s="340">
        <f>SUM(E534:E536)</f>
        <v>13498893.819999998</v>
      </c>
      <c r="G533" s="106">
        <f t="shared" si="60"/>
        <v>87.168370269921226</v>
      </c>
      <c r="H533" s="106">
        <f t="shared" si="61"/>
        <v>100.00000000000003</v>
      </c>
      <c r="I533" s="106">
        <f t="shared" si="62"/>
        <v>70.794482320131308</v>
      </c>
      <c r="J533" s="326">
        <v>19067720.219999999</v>
      </c>
    </row>
    <row r="534" spans="1:10" s="73" customFormat="1" ht="12.75" customHeight="1" x14ac:dyDescent="0.2">
      <c r="A534" s="112"/>
      <c r="B534" s="341" t="s">
        <v>657</v>
      </c>
      <c r="C534" s="342">
        <f t="shared" ref="C534:D535" si="65">SUM(C539,C548,C544)</f>
        <v>6359000</v>
      </c>
      <c r="D534" s="342">
        <f t="shared" si="65"/>
        <v>9839853.1999999993</v>
      </c>
      <c r="E534" s="108">
        <v>9839853.1999999993</v>
      </c>
      <c r="F534" s="108">
        <f t="shared" ref="F534:F535" si="66">SUM(E539,E544,E548)</f>
        <v>9839853.1999999993</v>
      </c>
      <c r="G534" s="47">
        <f t="shared" si="60"/>
        <v>154.73900298789115</v>
      </c>
      <c r="H534" s="47">
        <f t="shared" si="61"/>
        <v>100</v>
      </c>
      <c r="I534" s="47">
        <f t="shared" si="62"/>
        <v>148.63121598159844</v>
      </c>
      <c r="J534" s="34">
        <v>6620314</v>
      </c>
    </row>
    <row r="535" spans="1:10" s="73" customFormat="1" ht="12.75" customHeight="1" x14ac:dyDescent="0.2">
      <c r="A535" s="112"/>
      <c r="B535" s="341" t="s">
        <v>658</v>
      </c>
      <c r="C535" s="342">
        <f t="shared" si="65"/>
        <v>3507000</v>
      </c>
      <c r="D535" s="342">
        <f t="shared" si="65"/>
        <v>2954288.76</v>
      </c>
      <c r="E535" s="70">
        <v>2954288.76</v>
      </c>
      <c r="F535" s="70">
        <f t="shared" si="66"/>
        <v>2954288.76</v>
      </c>
      <c r="G535" s="47">
        <f t="shared" si="60"/>
        <v>84.239770744225822</v>
      </c>
      <c r="H535" s="47">
        <f t="shared" si="61"/>
        <v>100</v>
      </c>
      <c r="I535" s="47">
        <f t="shared" si="62"/>
        <v>78.445219655642305</v>
      </c>
      <c r="J535" s="328">
        <v>3766053.27</v>
      </c>
    </row>
    <row r="536" spans="1:10" s="343" customFormat="1" ht="12.75" customHeight="1" x14ac:dyDescent="0.25">
      <c r="A536" s="112"/>
      <c r="B536" s="341" t="s">
        <v>659</v>
      </c>
      <c r="C536" s="70">
        <f>C550+C541</f>
        <v>5620000</v>
      </c>
      <c r="D536" s="70">
        <f>D550+D541</f>
        <v>704751.86</v>
      </c>
      <c r="E536" s="104">
        <v>704751.86</v>
      </c>
      <c r="F536" s="104">
        <f>SUM(E541,E550)</f>
        <v>704751.86</v>
      </c>
      <c r="G536" s="47">
        <f t="shared" si="60"/>
        <v>12.540068683274022</v>
      </c>
      <c r="H536" s="47">
        <f t="shared" si="61"/>
        <v>100</v>
      </c>
      <c r="I536" s="47">
        <f t="shared" si="62"/>
        <v>8.1179957094130124</v>
      </c>
      <c r="J536" s="326">
        <v>8681352.9499999993</v>
      </c>
    </row>
    <row r="537" spans="1:10" s="73" customFormat="1" ht="12.75" customHeight="1" x14ac:dyDescent="0.2">
      <c r="A537" s="112"/>
      <c r="B537" s="341"/>
      <c r="C537" s="342"/>
      <c r="D537" s="342"/>
      <c r="E537" s="103"/>
      <c r="F537" s="104"/>
      <c r="G537" s="114"/>
      <c r="H537" s="114"/>
      <c r="I537" s="114"/>
      <c r="J537" s="326"/>
    </row>
    <row r="538" spans="1:10" s="343" customFormat="1" ht="12.75" customHeight="1" x14ac:dyDescent="0.25">
      <c r="A538" s="112"/>
      <c r="B538" s="115" t="s">
        <v>660</v>
      </c>
      <c r="C538" s="344">
        <f>C539+C540+C541</f>
        <v>6849000</v>
      </c>
      <c r="D538" s="344">
        <f>D539+D540+D541</f>
        <v>3652363</v>
      </c>
      <c r="E538" s="103">
        <v>3692363</v>
      </c>
      <c r="F538" s="104">
        <f>SUM(E539:E541)</f>
        <v>3652363</v>
      </c>
      <c r="G538" s="106">
        <f t="shared" si="60"/>
        <v>53.910979705066431</v>
      </c>
      <c r="H538" s="106">
        <f t="shared" si="61"/>
        <v>101.09518139352522</v>
      </c>
      <c r="I538" s="106">
        <f t="shared" si="62"/>
        <v>41.916256632893479</v>
      </c>
      <c r="J538" s="326">
        <v>8808904.4600000009</v>
      </c>
    </row>
    <row r="539" spans="1:10" s="73" customFormat="1" ht="12.75" customHeight="1" x14ac:dyDescent="0.2">
      <c r="A539" s="112"/>
      <c r="B539" s="115" t="s">
        <v>661</v>
      </c>
      <c r="C539" s="47">
        <v>1831000</v>
      </c>
      <c r="D539" s="47">
        <f>1831000+(205167.05+676702.95)+130000+199651</f>
        <v>3042521</v>
      </c>
      <c r="E539" s="104">
        <v>3042521</v>
      </c>
      <c r="F539" s="104"/>
      <c r="G539" s="47">
        <f t="shared" si="60"/>
        <v>166.16717640633533</v>
      </c>
      <c r="H539" s="47">
        <f t="shared" si="61"/>
        <v>100</v>
      </c>
      <c r="I539" s="47">
        <f t="shared" si="62"/>
        <v>159.67969811954507</v>
      </c>
      <c r="J539" s="326">
        <v>1905390</v>
      </c>
    </row>
    <row r="540" spans="1:10" s="345" customFormat="1" ht="24.75" x14ac:dyDescent="0.2">
      <c r="A540" s="112" t="s">
        <v>662</v>
      </c>
      <c r="B540" s="115" t="s">
        <v>663</v>
      </c>
      <c r="C540" s="47">
        <v>304000</v>
      </c>
      <c r="D540" s="47">
        <f>304000-177158</f>
        <v>126842</v>
      </c>
      <c r="E540" s="70">
        <v>126842</v>
      </c>
      <c r="F540" s="70"/>
      <c r="G540" s="47">
        <f t="shared" si="60"/>
        <v>41.724342105263155</v>
      </c>
      <c r="H540" s="47">
        <f t="shared" si="61"/>
        <v>100</v>
      </c>
      <c r="I540" s="47">
        <f t="shared" si="62"/>
        <v>13.042301695104378</v>
      </c>
      <c r="J540" s="328">
        <v>972543.06</v>
      </c>
    </row>
    <row r="541" spans="1:10" s="345" customFormat="1" ht="58.5" customHeight="1" x14ac:dyDescent="0.2">
      <c r="A541" s="112"/>
      <c r="B541" s="115" t="s">
        <v>664</v>
      </c>
      <c r="C541" s="47">
        <f>+(3037+1102+380+150+245-200)*1000</f>
        <v>4714000</v>
      </c>
      <c r="D541" s="47">
        <f>((3037+1102+380+150+245-200)*1000)-4139000-150000+58000</f>
        <v>483000</v>
      </c>
      <c r="E541" s="70">
        <v>483000</v>
      </c>
      <c r="F541" s="70"/>
      <c r="G541" s="47">
        <f t="shared" si="60"/>
        <v>10.246075519728469</v>
      </c>
      <c r="H541" s="47">
        <f t="shared" si="61"/>
        <v>100</v>
      </c>
      <c r="I541" s="47">
        <f t="shared" si="62"/>
        <v>8.1436912678418913</v>
      </c>
      <c r="J541" s="19">
        <v>5930971.4000000004</v>
      </c>
    </row>
    <row r="542" spans="1:10" s="345" customFormat="1" x14ac:dyDescent="0.2">
      <c r="A542" s="346"/>
      <c r="B542" s="347"/>
      <c r="C542" s="70"/>
      <c r="D542" s="70"/>
      <c r="E542" s="70"/>
      <c r="F542" s="70"/>
      <c r="G542" s="70"/>
      <c r="H542" s="70"/>
      <c r="I542" s="70"/>
      <c r="J542" s="34"/>
    </row>
    <row r="543" spans="1:10" s="345" customFormat="1" x14ac:dyDescent="0.2">
      <c r="A543" s="112"/>
      <c r="B543" s="348" t="s">
        <v>665</v>
      </c>
      <c r="C543" s="344">
        <f>SUM(C544:C545)</f>
        <v>4220000</v>
      </c>
      <c r="D543" s="344">
        <f>SUM(D544:D545)</f>
        <v>5535090</v>
      </c>
      <c r="E543" s="102">
        <v>5535090</v>
      </c>
      <c r="F543" s="102">
        <f>SUM(E544:E545)</f>
        <v>5535090</v>
      </c>
      <c r="G543" s="106">
        <f t="shared" si="60"/>
        <v>131.1632701421801</v>
      </c>
      <c r="H543" s="106">
        <f t="shared" si="61"/>
        <v>100</v>
      </c>
      <c r="I543" s="106">
        <f t="shared" si="62"/>
        <v>159.23386391399646</v>
      </c>
      <c r="J543" s="34">
        <v>3476075.92</v>
      </c>
    </row>
    <row r="544" spans="1:10" s="345" customFormat="1" ht="12.75" customHeight="1" x14ac:dyDescent="0.2">
      <c r="A544" s="112"/>
      <c r="B544" s="115" t="s">
        <v>666</v>
      </c>
      <c r="C544" s="47">
        <v>2635000</v>
      </c>
      <c r="D544" s="47">
        <f>2635000+(254662.65+839954.35)+191000</f>
        <v>3920617</v>
      </c>
      <c r="E544" s="24">
        <v>3920617</v>
      </c>
      <c r="F544" s="24"/>
      <c r="G544" s="47">
        <f t="shared" si="60"/>
        <v>148.79001897533206</v>
      </c>
      <c r="H544" s="47">
        <f t="shared" si="61"/>
        <v>100</v>
      </c>
      <c r="I544" s="47">
        <f t="shared" si="62"/>
        <v>161.27987527458515</v>
      </c>
      <c r="J544" s="34">
        <v>2430940</v>
      </c>
    </row>
    <row r="545" spans="1:10" s="345" customFormat="1" ht="36.75" x14ac:dyDescent="0.2">
      <c r="A545" s="112"/>
      <c r="B545" s="115" t="s">
        <v>667</v>
      </c>
      <c r="C545" s="47">
        <f>+(100+120+80+1300+200+135-350)*1000</f>
        <v>1585000</v>
      </c>
      <c r="D545" s="47">
        <f>+((100+120+80+1300+200+135-350)*1000)+29473</f>
        <v>1614473</v>
      </c>
      <c r="E545" s="70">
        <v>1614473</v>
      </c>
      <c r="F545" s="70"/>
      <c r="G545" s="47">
        <f t="shared" si="60"/>
        <v>101.8594952681388</v>
      </c>
      <c r="H545" s="47">
        <f t="shared" si="61"/>
        <v>100</v>
      </c>
      <c r="I545" s="47">
        <f t="shared" si="62"/>
        <v>154.47493183470337</v>
      </c>
      <c r="J545" s="19">
        <v>1045135.92</v>
      </c>
    </row>
    <row r="546" spans="1:10" s="345" customFormat="1" ht="12.75" customHeight="1" x14ac:dyDescent="0.2">
      <c r="A546" s="112"/>
      <c r="B546" s="115"/>
      <c r="C546" s="47"/>
      <c r="D546" s="47"/>
      <c r="E546" s="70"/>
      <c r="F546" s="70"/>
      <c r="G546" s="47"/>
      <c r="H546" s="47"/>
      <c r="I546" s="47"/>
      <c r="J546" s="19"/>
    </row>
    <row r="547" spans="1:10" s="345" customFormat="1" ht="12.75" customHeight="1" x14ac:dyDescent="0.2">
      <c r="A547" s="112"/>
      <c r="B547" s="115" t="s">
        <v>668</v>
      </c>
      <c r="C547" s="344">
        <f>SUM(C548:C550)</f>
        <v>4417000</v>
      </c>
      <c r="D547" s="344">
        <f>SUM(D548:D550)</f>
        <v>4311440.82</v>
      </c>
      <c r="E547" s="349">
        <v>4311440.82</v>
      </c>
      <c r="F547" s="349">
        <f>SUM(E548:E550)</f>
        <v>4311440.82</v>
      </c>
      <c r="G547" s="106">
        <f t="shared" si="60"/>
        <v>97.61016119538148</v>
      </c>
      <c r="H547" s="106">
        <f t="shared" si="61"/>
        <v>100</v>
      </c>
      <c r="I547" s="106">
        <f t="shared" si="62"/>
        <v>63.564885602335011</v>
      </c>
      <c r="J547" s="19">
        <v>6782739.8399999999</v>
      </c>
    </row>
    <row r="548" spans="1:10" s="345" customFormat="1" ht="12.75" customHeight="1" x14ac:dyDescent="0.2">
      <c r="A548" s="112"/>
      <c r="B548" s="115" t="s">
        <v>661</v>
      </c>
      <c r="C548" s="47">
        <v>1893000</v>
      </c>
      <c r="D548" s="47">
        <f>1893000+135500+4994+(5135.13+29099.07)+(181310.43+598016.57)+29660</f>
        <v>2876715.2</v>
      </c>
      <c r="E548" s="70">
        <v>2876715.2</v>
      </c>
      <c r="F548" s="70"/>
      <c r="G548" s="47">
        <f t="shared" si="60"/>
        <v>151.9659376650819</v>
      </c>
      <c r="H548" s="47">
        <f t="shared" si="61"/>
        <v>100</v>
      </c>
      <c r="I548" s="47">
        <f t="shared" si="62"/>
        <v>125.95163538798873</v>
      </c>
      <c r="J548" s="19">
        <v>2283984</v>
      </c>
    </row>
    <row r="549" spans="1:10" s="345" customFormat="1" ht="44.25" customHeight="1" x14ac:dyDescent="0.2">
      <c r="A549" s="112"/>
      <c r="B549" s="115" t="s">
        <v>669</v>
      </c>
      <c r="C549" s="47">
        <f>+(405+260+200+190+120+443)*1000</f>
        <v>1618000</v>
      </c>
      <c r="D549" s="47">
        <f>+((405+260+200+190+120+443)*1000)-135500-118850-150676.24</f>
        <v>1212973.76</v>
      </c>
      <c r="E549" s="70">
        <v>1212973.76</v>
      </c>
      <c r="F549" s="70"/>
      <c r="G549" s="47">
        <f t="shared" si="60"/>
        <v>74.967475896168111</v>
      </c>
      <c r="H549" s="47">
        <f t="shared" si="61"/>
        <v>100</v>
      </c>
      <c r="I549" s="47">
        <f t="shared" si="62"/>
        <v>69.377236152334405</v>
      </c>
      <c r="J549" s="19">
        <v>1748374.29</v>
      </c>
    </row>
    <row r="550" spans="1:10" s="345" customFormat="1" ht="38.25" customHeight="1" x14ac:dyDescent="0.2">
      <c r="A550" s="112"/>
      <c r="B550" s="115" t="s">
        <v>670</v>
      </c>
      <c r="C550" s="47">
        <v>906000</v>
      </c>
      <c r="D550" s="47">
        <f>906000-684000-248.14</f>
        <v>221751.86</v>
      </c>
      <c r="E550" s="114">
        <v>221751.86</v>
      </c>
      <c r="F550" s="70">
        <f>SUM(E551:E552)</f>
        <v>55727000.640000001</v>
      </c>
      <c r="G550" s="47">
        <f t="shared" si="60"/>
        <v>24.475922737306842</v>
      </c>
      <c r="H550" s="47">
        <f t="shared" si="61"/>
        <v>100</v>
      </c>
      <c r="I550" s="47">
        <f t="shared" si="62"/>
        <v>8.0625853529303964</v>
      </c>
      <c r="J550" s="19">
        <v>2750381.55</v>
      </c>
    </row>
    <row r="551" spans="1:10" s="345" customFormat="1" ht="12.75" customHeight="1" x14ac:dyDescent="0.2">
      <c r="A551" s="112"/>
      <c r="B551" s="115"/>
      <c r="C551" s="47"/>
      <c r="D551" s="47"/>
      <c r="E551" s="104"/>
      <c r="F551" s="104"/>
      <c r="G551" s="47"/>
      <c r="H551" s="47"/>
      <c r="I551" s="47"/>
      <c r="J551" s="34"/>
    </row>
    <row r="552" spans="1:10" s="345" customFormat="1" x14ac:dyDescent="0.2">
      <c r="A552" s="97">
        <v>3113</v>
      </c>
      <c r="B552" s="113" t="s">
        <v>671</v>
      </c>
      <c r="C552" s="344">
        <f>SUM(C553:C556)</f>
        <v>49940516.289999999</v>
      </c>
      <c r="D552" s="114">
        <f>SUM(D553:D556)</f>
        <v>55727000.640000001</v>
      </c>
      <c r="E552" s="103">
        <v>55727000.640000001</v>
      </c>
      <c r="F552" s="103">
        <f>SUM(E553:E556)</f>
        <v>55727000.640000001</v>
      </c>
      <c r="G552" s="106">
        <f t="shared" ref="G552:G615" si="67">E552/C552*100</f>
        <v>111.58675316129776</v>
      </c>
      <c r="H552" s="106">
        <f t="shared" ref="H552:H615" si="68">E552/D552*100</f>
        <v>100</v>
      </c>
      <c r="I552" s="106">
        <f t="shared" ref="I552:I615" si="69">E552/J552*100</f>
        <v>114.74472345997833</v>
      </c>
      <c r="J552" s="19">
        <v>48566068.189999998</v>
      </c>
    </row>
    <row r="553" spans="1:10" s="345" customFormat="1" ht="12.75" customHeight="1" x14ac:dyDescent="0.2">
      <c r="A553" s="97"/>
      <c r="B553" s="350" t="s">
        <v>672</v>
      </c>
      <c r="C553" s="47">
        <v>400000</v>
      </c>
      <c r="D553" s="47">
        <f>400000-175000+125004-29473-77530+(-75739-20261)+(-28739-1261)-124739+(9235+50000+13261+43000-5000-1001)+13991</f>
        <v>115748</v>
      </c>
      <c r="E553" s="104">
        <v>115748</v>
      </c>
      <c r="F553" s="104"/>
      <c r="G553" s="47">
        <f t="shared" si="67"/>
        <v>28.937000000000001</v>
      </c>
      <c r="H553" s="47">
        <f t="shared" si="68"/>
        <v>100</v>
      </c>
      <c r="I553" s="47">
        <f t="shared" si="69"/>
        <v>182.15123141081125</v>
      </c>
      <c r="J553" s="34">
        <v>63545</v>
      </c>
    </row>
    <row r="554" spans="1:10" s="345" customFormat="1" ht="12.75" customHeight="1" x14ac:dyDescent="0.2">
      <c r="A554" s="112"/>
      <c r="B554" s="115" t="s">
        <v>673</v>
      </c>
      <c r="C554" s="342">
        <f t="shared" ref="C554:D555" si="70">SUM(C564,C569,C559,C574)</f>
        <v>19020000</v>
      </c>
      <c r="D554" s="342">
        <f t="shared" si="70"/>
        <v>26789007.559999999</v>
      </c>
      <c r="E554" s="104">
        <v>26789007.559999999</v>
      </c>
      <c r="F554" s="104">
        <f t="shared" ref="F554:F556" si="71">SUM(E559,E564,E569,E574)</f>
        <v>26789007.560000002</v>
      </c>
      <c r="G554" s="47">
        <f t="shared" si="67"/>
        <v>140.84651713985278</v>
      </c>
      <c r="H554" s="47">
        <f t="shared" si="68"/>
        <v>100</v>
      </c>
      <c r="I554" s="47">
        <f t="shared" si="69"/>
        <v>91.653492502953753</v>
      </c>
      <c r="J554" s="19">
        <v>29228572.559999999</v>
      </c>
    </row>
    <row r="555" spans="1:10" s="345" customFormat="1" ht="12.75" customHeight="1" x14ac:dyDescent="0.2">
      <c r="A555" s="112"/>
      <c r="B555" s="115" t="s">
        <v>674</v>
      </c>
      <c r="C555" s="342">
        <f t="shared" si="70"/>
        <v>4231000</v>
      </c>
      <c r="D555" s="342">
        <f t="shared" si="70"/>
        <v>3393707.59</v>
      </c>
      <c r="E555" s="342">
        <v>3393707.59</v>
      </c>
      <c r="F555" s="342">
        <f t="shared" si="71"/>
        <v>3393707.59</v>
      </c>
      <c r="G555" s="47">
        <f t="shared" si="67"/>
        <v>80.210531552824392</v>
      </c>
      <c r="H555" s="47">
        <f t="shared" si="68"/>
        <v>100</v>
      </c>
      <c r="I555" s="47">
        <f t="shared" si="69"/>
        <v>48.380263837772318</v>
      </c>
      <c r="J555" s="34">
        <v>7014652.9199999999</v>
      </c>
    </row>
    <row r="556" spans="1:10" s="345" customFormat="1" ht="12.75" customHeight="1" x14ac:dyDescent="0.2">
      <c r="A556" s="112"/>
      <c r="B556" s="115" t="s">
        <v>675</v>
      </c>
      <c r="C556" s="351">
        <f>C561+C566+C571+C576</f>
        <v>26289516.289999999</v>
      </c>
      <c r="D556" s="351">
        <f>D561+D566+D571+D576</f>
        <v>25428537.490000002</v>
      </c>
      <c r="E556" s="342">
        <v>25428537.489999998</v>
      </c>
      <c r="F556" s="342">
        <f t="shared" si="71"/>
        <v>25428537.490000002</v>
      </c>
      <c r="G556" s="47">
        <f t="shared" si="67"/>
        <v>96.725010873146047</v>
      </c>
      <c r="H556" s="47">
        <f t="shared" si="68"/>
        <v>99.999999999999986</v>
      </c>
      <c r="I556" s="47">
        <f t="shared" si="69"/>
        <v>207.42247657851431</v>
      </c>
      <c r="J556" s="19">
        <v>12259297.02</v>
      </c>
    </row>
    <row r="557" spans="1:10" s="73" customFormat="1" ht="12.75" customHeight="1" x14ac:dyDescent="0.2">
      <c r="A557" s="112"/>
      <c r="B557" s="115"/>
      <c r="C557" s="351"/>
      <c r="D557" s="351"/>
      <c r="E557" s="104"/>
      <c r="F557" s="104"/>
      <c r="G557" s="47"/>
      <c r="H557" s="47"/>
      <c r="I557" s="47"/>
      <c r="J557" s="19"/>
    </row>
    <row r="558" spans="1:10" s="345" customFormat="1" x14ac:dyDescent="0.2">
      <c r="A558" s="112"/>
      <c r="B558" s="115" t="s">
        <v>676</v>
      </c>
      <c r="C558" s="344">
        <f>SUM(C559:C561)</f>
        <v>33476516.289999999</v>
      </c>
      <c r="D558" s="344">
        <f>SUM(D559:D561)</f>
        <v>30633748.16</v>
      </c>
      <c r="E558" s="114">
        <v>30633748.16</v>
      </c>
      <c r="F558" s="70">
        <f>SUM(E559:E562)</f>
        <v>30633748.16</v>
      </c>
      <c r="G558" s="106">
        <f t="shared" si="67"/>
        <v>91.508172160526797</v>
      </c>
      <c r="H558" s="106">
        <f t="shared" si="68"/>
        <v>100</v>
      </c>
      <c r="I558" s="106">
        <f t="shared" si="69"/>
        <v>174.24742763982621</v>
      </c>
      <c r="J558" s="34">
        <v>17580602.809999999</v>
      </c>
    </row>
    <row r="559" spans="1:10" s="345" customFormat="1" ht="12.75" customHeight="1" x14ac:dyDescent="0.2">
      <c r="A559" s="112"/>
      <c r="B559" s="115" t="s">
        <v>677</v>
      </c>
      <c r="C559" s="47">
        <v>6395000</v>
      </c>
      <c r="D559" s="47">
        <f>6395000+175000+(742.69+4208.59)+33125+(4048.85+22943.5)+20000</f>
        <v>6655068.6299999999</v>
      </c>
      <c r="E559" s="70">
        <v>6655068.6299999999</v>
      </c>
      <c r="F559" s="70"/>
      <c r="G559" s="47">
        <f t="shared" si="67"/>
        <v>104.06674949179046</v>
      </c>
      <c r="H559" s="47">
        <f t="shared" si="68"/>
        <v>100</v>
      </c>
      <c r="I559" s="47">
        <f t="shared" si="69"/>
        <v>54.05858073924523</v>
      </c>
      <c r="J559" s="19">
        <v>12310846.01</v>
      </c>
    </row>
    <row r="560" spans="1:10" s="345" customFormat="1" ht="24.75" x14ac:dyDescent="0.2">
      <c r="A560" s="112"/>
      <c r="B560" s="115" t="s">
        <v>678</v>
      </c>
      <c r="C560" s="47">
        <v>792000</v>
      </c>
      <c r="D560" s="47">
        <f>792000-21016.09</f>
        <v>770983.91</v>
      </c>
      <c r="E560" s="70">
        <v>770983.91</v>
      </c>
      <c r="F560" s="70"/>
      <c r="G560" s="47">
        <f t="shared" si="67"/>
        <v>97.346453282828278</v>
      </c>
      <c r="H560" s="47">
        <f t="shared" si="68"/>
        <v>100</v>
      </c>
      <c r="I560" s="47">
        <f t="shared" si="69"/>
        <v>107.69586249284109</v>
      </c>
      <c r="J560" s="19">
        <v>715890</v>
      </c>
    </row>
    <row r="561" spans="1:10" s="345" customFormat="1" ht="44.25" customHeight="1" x14ac:dyDescent="0.2">
      <c r="A561" s="112"/>
      <c r="B561" s="115" t="s">
        <v>679</v>
      </c>
      <c r="C561" s="47">
        <f>21655000+179000+4455516.29</f>
        <v>26289516.289999999</v>
      </c>
      <c r="D561" s="47">
        <f>21655000+179000+4455516.29-2042156.56-191000-130000-199651-8888-490125.11-20000</f>
        <v>23207695.620000001</v>
      </c>
      <c r="E561" s="70">
        <v>23207695.620000001</v>
      </c>
      <c r="F561" s="70"/>
      <c r="G561" s="47">
        <f t="shared" si="67"/>
        <v>88.277377810970762</v>
      </c>
      <c r="H561" s="47">
        <f t="shared" si="68"/>
        <v>100</v>
      </c>
      <c r="I561" s="47">
        <f t="shared" si="69"/>
        <v>509.62623010865934</v>
      </c>
      <c r="J561" s="19">
        <v>4553866</v>
      </c>
    </row>
    <row r="562" spans="1:10" s="345" customFormat="1" ht="12.75" customHeight="1" x14ac:dyDescent="0.2">
      <c r="A562" s="112"/>
      <c r="B562" s="115"/>
      <c r="C562" s="70"/>
      <c r="D562" s="70"/>
      <c r="E562" s="70"/>
      <c r="F562" s="70"/>
      <c r="G562" s="47"/>
      <c r="H562" s="47"/>
      <c r="I562" s="47"/>
      <c r="J562" s="19"/>
    </row>
    <row r="563" spans="1:10" s="345" customFormat="1" x14ac:dyDescent="0.2">
      <c r="A563" s="112"/>
      <c r="B563" s="115" t="s">
        <v>680</v>
      </c>
      <c r="C563" s="344">
        <f>SUM(C564:C566)</f>
        <v>5030000</v>
      </c>
      <c r="D563" s="344">
        <f>SUM(D564:D566)</f>
        <v>4458824.2</v>
      </c>
      <c r="E563" s="114">
        <v>4458824.2</v>
      </c>
      <c r="F563" s="114">
        <f>SUM(E564:E566)</f>
        <v>4458824.2</v>
      </c>
      <c r="G563" s="106">
        <f t="shared" si="67"/>
        <v>88.64461630218689</v>
      </c>
      <c r="H563" s="106">
        <f t="shared" si="68"/>
        <v>100</v>
      </c>
      <c r="I563" s="106">
        <f t="shared" si="69"/>
        <v>36.586932736084357</v>
      </c>
      <c r="J563" s="34">
        <v>12186930.869999999</v>
      </c>
    </row>
    <row r="564" spans="1:10" s="345" customFormat="1" ht="12.75" customHeight="1" x14ac:dyDescent="0.2">
      <c r="A564" s="112"/>
      <c r="B564" s="115" t="s">
        <v>681</v>
      </c>
      <c r="C564" s="47">
        <v>4016000</v>
      </c>
      <c r="D564" s="47">
        <f>4016000+(2670.26+15131.44)+(2157.75+12227.25)+19982+(4937.63+27979.87)+30000+8888</f>
        <v>4139974.2</v>
      </c>
      <c r="E564" s="104">
        <v>4139974.2</v>
      </c>
      <c r="F564" s="104"/>
      <c r="G564" s="47">
        <f t="shared" si="67"/>
        <v>103.08700697211155</v>
      </c>
      <c r="H564" s="47">
        <f t="shared" si="68"/>
        <v>100</v>
      </c>
      <c r="I564" s="47">
        <f t="shared" si="69"/>
        <v>65.635791477215463</v>
      </c>
      <c r="J564" s="19">
        <v>6307494.9000000004</v>
      </c>
    </row>
    <row r="565" spans="1:10" s="345" customFormat="1" ht="36.75" customHeight="1" x14ac:dyDescent="0.2">
      <c r="A565" s="112"/>
      <c r="B565" s="115" t="s">
        <v>682</v>
      </c>
      <c r="C565" s="47">
        <v>1014000</v>
      </c>
      <c r="D565" s="47">
        <f>1014000-814000</f>
        <v>200000</v>
      </c>
      <c r="E565" s="104">
        <v>200000</v>
      </c>
      <c r="F565" s="104"/>
      <c r="G565" s="47">
        <f t="shared" si="67"/>
        <v>19.723865877712033</v>
      </c>
      <c r="H565" s="47">
        <f t="shared" si="68"/>
        <v>100</v>
      </c>
      <c r="I565" s="47">
        <f t="shared" si="69"/>
        <v>50.505050505050505</v>
      </c>
      <c r="J565" s="19">
        <v>396000</v>
      </c>
    </row>
    <row r="566" spans="1:10" s="345" customFormat="1" x14ac:dyDescent="0.2">
      <c r="A566" s="112"/>
      <c r="B566" s="115" t="s">
        <v>683</v>
      </c>
      <c r="C566" s="352">
        <v>0</v>
      </c>
      <c r="D566" s="352">
        <f>118850</f>
        <v>118850</v>
      </c>
      <c r="E566" s="70">
        <v>118850</v>
      </c>
      <c r="F566" s="70"/>
      <c r="G566" s="47">
        <v>0</v>
      </c>
      <c r="H566" s="47">
        <f t="shared" si="68"/>
        <v>100</v>
      </c>
      <c r="I566" s="47">
        <f t="shared" si="69"/>
        <v>2.1674365902337644</v>
      </c>
      <c r="J566" s="34">
        <v>5483436.0800000001</v>
      </c>
    </row>
    <row r="567" spans="1:10" s="345" customFormat="1" ht="12.75" customHeight="1" x14ac:dyDescent="0.2">
      <c r="A567" s="112"/>
      <c r="B567" s="115"/>
      <c r="C567" s="70"/>
      <c r="D567" s="70"/>
      <c r="E567" s="125"/>
      <c r="F567" s="125"/>
      <c r="G567" s="47"/>
      <c r="H567" s="160"/>
      <c r="I567" s="160"/>
      <c r="J567" s="19"/>
    </row>
    <row r="568" spans="1:10" s="345" customFormat="1" ht="12.75" customHeight="1" x14ac:dyDescent="0.2">
      <c r="A568" s="112"/>
      <c r="B568" s="115" t="s">
        <v>684</v>
      </c>
      <c r="C568" s="344">
        <f>SUM(C569:C571)</f>
        <v>4325000</v>
      </c>
      <c r="D568" s="344">
        <f>SUM(D569:D571)</f>
        <v>13946639.600000001</v>
      </c>
      <c r="E568" s="114">
        <v>13946939.6</v>
      </c>
      <c r="F568" s="114">
        <f>SUM(E569:E571)</f>
        <v>13946639.600000001</v>
      </c>
      <c r="G568" s="106">
        <f t="shared" si="67"/>
        <v>322.47259190751441</v>
      </c>
      <c r="H568" s="106">
        <f t="shared" si="68"/>
        <v>100.00215105579984</v>
      </c>
      <c r="I568" s="106">
        <f t="shared" si="69"/>
        <v>115.51018639069257</v>
      </c>
      <c r="J568" s="19">
        <v>12074207.51</v>
      </c>
    </row>
    <row r="569" spans="1:10" s="345" customFormat="1" ht="12.75" customHeight="1" x14ac:dyDescent="0.2">
      <c r="A569" s="112"/>
      <c r="B569" s="115" t="s">
        <v>685</v>
      </c>
      <c r="C569" s="47">
        <v>3435000</v>
      </c>
      <c r="D569" s="47">
        <f>3435000+(180804.25+3073672.15)+(4369.37+24759.73)+(755.69+4282.21)+9229+(949216.65+3130803.35)+(6863.3+38892.03)+96000</f>
        <v>10954647.73</v>
      </c>
      <c r="E569" s="70">
        <v>10954647.73</v>
      </c>
      <c r="F569" s="70"/>
      <c r="G569" s="47">
        <f t="shared" si="67"/>
        <v>318.9125976710335</v>
      </c>
      <c r="H569" s="47">
        <f t="shared" si="68"/>
        <v>100</v>
      </c>
      <c r="I569" s="47">
        <f t="shared" si="69"/>
        <v>245.19297985112533</v>
      </c>
      <c r="J569" s="34">
        <v>4467765.6500000004</v>
      </c>
    </row>
    <row r="570" spans="1:10" s="345" customFormat="1" x14ac:dyDescent="0.2">
      <c r="A570" s="112"/>
      <c r="B570" s="115" t="s">
        <v>686</v>
      </c>
      <c r="C570" s="47">
        <v>890000</v>
      </c>
      <c r="D570" s="47">
        <v>890000</v>
      </c>
      <c r="E570" s="104">
        <v>890000</v>
      </c>
      <c r="F570" s="104"/>
      <c r="G570" s="47">
        <f t="shared" si="67"/>
        <v>100</v>
      </c>
      <c r="H570" s="47">
        <f t="shared" si="68"/>
        <v>100</v>
      </c>
      <c r="I570" s="47">
        <f t="shared" si="69"/>
        <v>15.601871321403053</v>
      </c>
      <c r="J570" s="34">
        <v>5704443.9199999999</v>
      </c>
    </row>
    <row r="571" spans="1:10" s="345" customFormat="1" ht="24.75" customHeight="1" x14ac:dyDescent="0.2">
      <c r="A571" s="112"/>
      <c r="B571" s="115" t="s">
        <v>687</v>
      </c>
      <c r="C571" s="47">
        <v>0</v>
      </c>
      <c r="D571" s="47">
        <f>(116777.32+1985214.55)</f>
        <v>2101991.87</v>
      </c>
      <c r="E571" s="70">
        <v>2101991.87</v>
      </c>
      <c r="F571" s="70"/>
      <c r="G571" s="47">
        <v>0</v>
      </c>
      <c r="H571" s="47">
        <f t="shared" si="68"/>
        <v>100</v>
      </c>
      <c r="I571" s="47">
        <f t="shared" si="69"/>
        <v>110.51493935897744</v>
      </c>
      <c r="J571" s="19">
        <v>1901997.94</v>
      </c>
    </row>
    <row r="572" spans="1:10" s="345" customFormat="1" ht="12.75" customHeight="1" x14ac:dyDescent="0.2">
      <c r="A572" s="112"/>
      <c r="B572" s="115"/>
      <c r="C572" s="106"/>
      <c r="D572" s="106"/>
      <c r="E572" s="70"/>
      <c r="F572" s="70"/>
      <c r="G572" s="47"/>
      <c r="H572" s="47"/>
      <c r="I572" s="47"/>
      <c r="J572" s="19"/>
    </row>
    <row r="573" spans="1:10" s="345" customFormat="1" x14ac:dyDescent="0.2">
      <c r="A573" s="112"/>
      <c r="B573" s="115" t="s">
        <v>688</v>
      </c>
      <c r="C573" s="344">
        <f>SUM(C574:C576)</f>
        <v>6709000</v>
      </c>
      <c r="D573" s="344">
        <f>SUM(D574:D576)</f>
        <v>6572040.6799999997</v>
      </c>
      <c r="E573" s="114">
        <v>6572040.6799999997</v>
      </c>
      <c r="F573" s="114">
        <f>SUM(E574:E576)</f>
        <v>6572040.6799999997</v>
      </c>
      <c r="G573" s="106">
        <f t="shared" si="67"/>
        <v>97.958573259800261</v>
      </c>
      <c r="H573" s="106">
        <f t="shared" si="68"/>
        <v>100</v>
      </c>
      <c r="I573" s="106">
        <f t="shared" si="69"/>
        <v>98.66770418248187</v>
      </c>
      <c r="J573" s="19">
        <v>6660782</v>
      </c>
    </row>
    <row r="574" spans="1:10" s="345" customFormat="1" ht="12.75" customHeight="1" x14ac:dyDescent="0.2">
      <c r="A574" s="112"/>
      <c r="B574" s="115" t="s">
        <v>689</v>
      </c>
      <c r="C574" s="47">
        <v>5174000</v>
      </c>
      <c r="D574" s="47">
        <f>5174000-125004-50570+5000+35891</f>
        <v>5039317</v>
      </c>
      <c r="E574" s="70">
        <v>5039317</v>
      </c>
      <c r="F574" s="70"/>
      <c r="G574" s="47">
        <f t="shared" si="67"/>
        <v>97.39692694240432</v>
      </c>
      <c r="H574" s="47">
        <f t="shared" si="68"/>
        <v>100</v>
      </c>
      <c r="I574" s="47">
        <f t="shared" si="69"/>
        <v>82.040616911839649</v>
      </c>
      <c r="J574" s="34">
        <v>6142466</v>
      </c>
    </row>
    <row r="575" spans="1:10" s="345" customFormat="1" ht="24.75" x14ac:dyDescent="0.2">
      <c r="A575" s="112"/>
      <c r="B575" s="115" t="s">
        <v>690</v>
      </c>
      <c r="C575" s="47">
        <v>1535000</v>
      </c>
      <c r="D575" s="47">
        <f>1535000-2276.32</f>
        <v>1532723.68</v>
      </c>
      <c r="E575" s="104">
        <v>1532723.68</v>
      </c>
      <c r="F575" s="104"/>
      <c r="G575" s="47">
        <f t="shared" si="67"/>
        <v>99.851705537459281</v>
      </c>
      <c r="H575" s="47">
        <f t="shared" si="68"/>
        <v>100</v>
      </c>
      <c r="I575" s="47">
        <f t="shared" si="69"/>
        <v>772.85770904451908</v>
      </c>
      <c r="J575" s="19">
        <v>198319</v>
      </c>
    </row>
    <row r="576" spans="1:10" s="345" customFormat="1" ht="23.25" customHeight="1" x14ac:dyDescent="0.2">
      <c r="A576" s="112"/>
      <c r="B576" s="115" t="s">
        <v>691</v>
      </c>
      <c r="C576" s="47">
        <v>0</v>
      </c>
      <c r="D576" s="47">
        <v>0</v>
      </c>
      <c r="E576" s="125">
        <v>0</v>
      </c>
      <c r="F576" s="125"/>
      <c r="G576" s="47">
        <v>0</v>
      </c>
      <c r="H576" s="47">
        <v>0</v>
      </c>
      <c r="I576" s="47">
        <v>0</v>
      </c>
      <c r="J576" s="19">
        <v>319997</v>
      </c>
    </row>
    <row r="577" spans="1:10" s="345" customFormat="1" ht="12.75" customHeight="1" x14ac:dyDescent="0.2">
      <c r="A577" s="112"/>
      <c r="B577" s="115"/>
      <c r="C577" s="47"/>
      <c r="D577" s="47"/>
      <c r="E577" s="353"/>
      <c r="F577" s="108"/>
      <c r="G577" s="47"/>
      <c r="H577" s="47"/>
      <c r="I577" s="47"/>
      <c r="J577" s="19"/>
    </row>
    <row r="578" spans="1:10" s="345" customFormat="1" x14ac:dyDescent="0.2">
      <c r="A578" s="97">
        <v>3233</v>
      </c>
      <c r="B578" s="113" t="s">
        <v>692</v>
      </c>
      <c r="C578" s="344">
        <f>C579</f>
        <v>7157567.3300000001</v>
      </c>
      <c r="D578" s="344">
        <f>D579</f>
        <v>22705521.82</v>
      </c>
      <c r="E578" s="208">
        <v>22705521.82</v>
      </c>
      <c r="F578" s="208"/>
      <c r="G578" s="106">
        <f t="shared" si="67"/>
        <v>317.22400605067025</v>
      </c>
      <c r="H578" s="106">
        <f t="shared" si="68"/>
        <v>100</v>
      </c>
      <c r="I578" s="106">
        <f t="shared" si="69"/>
        <v>474.29635157718292</v>
      </c>
      <c r="J578" s="19">
        <v>4787201.45</v>
      </c>
    </row>
    <row r="579" spans="1:10" s="345" customFormat="1" ht="12.75" customHeight="1" x14ac:dyDescent="0.2">
      <c r="A579" s="97"/>
      <c r="B579" s="115" t="s">
        <v>693</v>
      </c>
      <c r="C579" s="354">
        <f>SUM(C580:C582)</f>
        <v>7157567.3300000001</v>
      </c>
      <c r="D579" s="354">
        <f>SUM(D580:D582)</f>
        <v>22705521.82</v>
      </c>
      <c r="E579" s="141">
        <v>22705521.82</v>
      </c>
      <c r="F579" s="141">
        <f>SUM(E580:E582)</f>
        <v>22705521.82</v>
      </c>
      <c r="G579" s="47">
        <f t="shared" si="67"/>
        <v>317.22400605067025</v>
      </c>
      <c r="H579" s="47">
        <f t="shared" si="68"/>
        <v>100</v>
      </c>
      <c r="I579" s="47">
        <f t="shared" si="69"/>
        <v>465.44863004786328</v>
      </c>
      <c r="J579" s="19">
        <v>4878201.45</v>
      </c>
    </row>
    <row r="580" spans="1:10" s="345" customFormat="1" ht="12.75" customHeight="1" x14ac:dyDescent="0.2">
      <c r="A580" s="97"/>
      <c r="B580" s="115" t="s">
        <v>694</v>
      </c>
      <c r="C580" s="47">
        <v>1531000</v>
      </c>
      <c r="D580" s="47">
        <f>1531000+188000+210100+(74612.47+1268412.02)+10200+967937.95</f>
        <v>4250262.4400000004</v>
      </c>
      <c r="E580" s="124">
        <v>4250262.4400000004</v>
      </c>
      <c r="F580" s="125"/>
      <c r="G580" s="106">
        <f t="shared" si="67"/>
        <v>277.61348399738733</v>
      </c>
      <c r="H580" s="106">
        <f t="shared" si="68"/>
        <v>100</v>
      </c>
      <c r="I580" s="106">
        <f t="shared" si="69"/>
        <v>275.73902773701059</v>
      </c>
      <c r="J580" s="19">
        <v>1541407.64</v>
      </c>
    </row>
    <row r="581" spans="1:10" s="345" customFormat="1" ht="12.75" customHeight="1" x14ac:dyDescent="0.2">
      <c r="A581" s="97"/>
      <c r="B581" s="115" t="s">
        <v>695</v>
      </c>
      <c r="C581" s="47">
        <v>766000</v>
      </c>
      <c r="D581" s="47">
        <f>766000+700000+464545.7</f>
        <v>1930545.7</v>
      </c>
      <c r="E581" s="70">
        <v>1930545.7</v>
      </c>
      <c r="F581" s="70"/>
      <c r="G581" s="47">
        <f t="shared" si="67"/>
        <v>252.02946475195822</v>
      </c>
      <c r="H581" s="47">
        <f t="shared" si="68"/>
        <v>100</v>
      </c>
      <c r="I581" s="47">
        <f t="shared" si="69"/>
        <v>594.8379761949659</v>
      </c>
      <c r="J581" s="34">
        <v>324549.84000000003</v>
      </c>
    </row>
    <row r="582" spans="1:10" s="345" customFormat="1" ht="24.75" x14ac:dyDescent="0.2">
      <c r="A582" s="97"/>
      <c r="B582" s="115" t="s">
        <v>696</v>
      </c>
      <c r="C582" s="352">
        <f>7362000-7074000+4572567.33</f>
        <v>4860567.33</v>
      </c>
      <c r="D582" s="352">
        <f>(7362000-7074000+4572567.33)-700000+(739250.27+12567254.62)+490125.11-967937.95-464545.7</f>
        <v>16524713.68</v>
      </c>
      <c r="E582" s="47">
        <v>16524713.68</v>
      </c>
      <c r="F582" s="47"/>
      <c r="G582" s="47">
        <f t="shared" si="67"/>
        <v>339.97499793918087</v>
      </c>
      <c r="H582" s="47">
        <f t="shared" si="68"/>
        <v>100</v>
      </c>
      <c r="I582" s="47">
        <f t="shared" si="69"/>
        <v>548.58483723680581</v>
      </c>
      <c r="J582" s="19">
        <v>3012243.97</v>
      </c>
    </row>
    <row r="583" spans="1:10" s="73" customFormat="1" ht="12.75" customHeight="1" thickBot="1" x14ac:dyDescent="0.25">
      <c r="A583" s="97">
        <v>3419</v>
      </c>
      <c r="B583" s="113" t="s">
        <v>697</v>
      </c>
      <c r="C583" s="106">
        <v>80000</v>
      </c>
      <c r="D583" s="106">
        <f>80000+1955-13991</f>
        <v>67964</v>
      </c>
      <c r="E583" s="192">
        <v>46809.4</v>
      </c>
      <c r="F583" s="192"/>
      <c r="G583" s="47">
        <f t="shared" si="67"/>
        <v>58.511750000000006</v>
      </c>
      <c r="H583" s="47">
        <f t="shared" si="68"/>
        <v>68.873815549408519</v>
      </c>
      <c r="I583" s="47">
        <v>0</v>
      </c>
      <c r="J583" s="19">
        <v>0</v>
      </c>
    </row>
    <row r="584" spans="1:10" s="73" customFormat="1" ht="16.5" thickBot="1" x14ac:dyDescent="0.3">
      <c r="A584" s="295"/>
      <c r="B584" s="336" t="s">
        <v>698</v>
      </c>
      <c r="C584" s="337">
        <f>SUM(C585,C588,C591,C595,C598,C605)</f>
        <v>62107511.280000001</v>
      </c>
      <c r="D584" s="127">
        <f>SUM(D585,D588,D591,D595,D598,D605)</f>
        <v>53478841.339999996</v>
      </c>
      <c r="E584" s="128">
        <v>53137354.399999999</v>
      </c>
      <c r="F584" s="128">
        <f>SUM(E585,E588,E591,E595,E598,E605)</f>
        <v>53137354.399999999</v>
      </c>
      <c r="G584" s="128">
        <f t="shared" si="67"/>
        <v>85.557049871858908</v>
      </c>
      <c r="H584" s="128">
        <f t="shared" si="68"/>
        <v>99.361454116350529</v>
      </c>
      <c r="I584" s="128">
        <f t="shared" si="69"/>
        <v>101.66126619209007</v>
      </c>
      <c r="J584" s="19">
        <v>52269026.729999997</v>
      </c>
    </row>
    <row r="585" spans="1:10" s="73" customFormat="1" x14ac:dyDescent="0.2">
      <c r="A585" s="355">
        <v>3311</v>
      </c>
      <c r="B585" s="356" t="s">
        <v>699</v>
      </c>
      <c r="C585" s="357">
        <f>SUM(C586:C587)</f>
        <v>27156511.280000001</v>
      </c>
      <c r="D585" s="357">
        <f>SUM(D586:D587)</f>
        <v>21429633.66</v>
      </c>
      <c r="E585" s="208">
        <v>21429633.66</v>
      </c>
      <c r="F585" s="141">
        <f>SUM(E586:E587)</f>
        <v>21429633.66</v>
      </c>
      <c r="G585" s="106">
        <f t="shared" si="67"/>
        <v>78.911585656373745</v>
      </c>
      <c r="H585" s="106">
        <f t="shared" si="68"/>
        <v>100</v>
      </c>
      <c r="I585" s="106">
        <f t="shared" si="69"/>
        <v>94.207130622949933</v>
      </c>
      <c r="J585" s="34">
        <v>22747358.420000002</v>
      </c>
    </row>
    <row r="586" spans="1:10" s="73" customFormat="1" ht="12.75" customHeight="1" x14ac:dyDescent="0.2">
      <c r="A586" s="358"/>
      <c r="B586" s="359" t="s">
        <v>700</v>
      </c>
      <c r="C586" s="47">
        <f>12526000+305000</f>
        <v>12831000</v>
      </c>
      <c r="D586" s="47">
        <f>12526000+305000-304528-54-522507.86</f>
        <v>12003910.140000001</v>
      </c>
      <c r="E586" s="47">
        <v>12003910.140000001</v>
      </c>
      <c r="F586" s="47"/>
      <c r="G586" s="47">
        <f t="shared" si="67"/>
        <v>93.553971942950682</v>
      </c>
      <c r="H586" s="47">
        <f t="shared" si="68"/>
        <v>100</v>
      </c>
      <c r="I586" s="47">
        <f t="shared" si="69"/>
        <v>111.38822408687234</v>
      </c>
      <c r="J586" s="19">
        <v>10776642</v>
      </c>
    </row>
    <row r="587" spans="1:10" s="73" customFormat="1" ht="24.75" x14ac:dyDescent="0.2">
      <c r="A587" s="358"/>
      <c r="B587" s="359" t="s">
        <v>701</v>
      </c>
      <c r="C587" s="47">
        <f>12494000-7375000+9406511.28-200000</f>
        <v>14325511.279999999</v>
      </c>
      <c r="D587" s="47">
        <f>(12494000-7375000+9406511.28-200000)-5319000+419212.24</f>
        <v>9425723.5199999996</v>
      </c>
      <c r="E587" s="104">
        <v>9425723.5199999996</v>
      </c>
      <c r="F587" s="104"/>
      <c r="G587" s="47">
        <f t="shared" si="67"/>
        <v>65.796768686080711</v>
      </c>
      <c r="H587" s="47">
        <f t="shared" si="68"/>
        <v>100</v>
      </c>
      <c r="I587" s="47">
        <f t="shared" si="69"/>
        <v>78.73984471181717</v>
      </c>
      <c r="J587" s="19">
        <v>11970716.42</v>
      </c>
    </row>
    <row r="588" spans="1:10" s="345" customFormat="1" x14ac:dyDescent="0.2">
      <c r="A588" s="360">
        <v>3319</v>
      </c>
      <c r="B588" s="361" t="s">
        <v>702</v>
      </c>
      <c r="C588" s="114">
        <f>SUM(C589:C590)</f>
        <v>1002000</v>
      </c>
      <c r="D588" s="114">
        <f>SUM(D589:D590)</f>
        <v>802000</v>
      </c>
      <c r="E588" s="114">
        <v>636476.18000000005</v>
      </c>
      <c r="F588" s="114">
        <f>SUM(E589:E590)</f>
        <v>636476.18000000005</v>
      </c>
      <c r="G588" s="106">
        <f t="shared" si="67"/>
        <v>63.520576846307385</v>
      </c>
      <c r="H588" s="106">
        <f t="shared" si="68"/>
        <v>79.361119700748134</v>
      </c>
      <c r="I588" s="106">
        <f t="shared" si="69"/>
        <v>203.68967655685063</v>
      </c>
      <c r="J588" s="19">
        <v>312473.46000000002</v>
      </c>
    </row>
    <row r="589" spans="1:10" s="345" customFormat="1" ht="12.75" customHeight="1" x14ac:dyDescent="0.2">
      <c r="A589" s="360"/>
      <c r="B589" s="362" t="s">
        <v>703</v>
      </c>
      <c r="C589" s="47">
        <v>402000</v>
      </c>
      <c r="D589" s="47">
        <v>402000</v>
      </c>
      <c r="E589" s="70">
        <v>359216.28</v>
      </c>
      <c r="F589" s="70"/>
      <c r="G589" s="47">
        <f t="shared" si="67"/>
        <v>89.357283582089565</v>
      </c>
      <c r="H589" s="47">
        <f t="shared" si="68"/>
        <v>89.357283582089565</v>
      </c>
      <c r="I589" s="47">
        <f t="shared" si="69"/>
        <v>173.51221348415717</v>
      </c>
      <c r="J589" s="19">
        <v>207026.51</v>
      </c>
    </row>
    <row r="590" spans="1:10" s="345" customFormat="1" x14ac:dyDescent="0.2">
      <c r="A590" s="360"/>
      <c r="B590" s="363" t="s">
        <v>704</v>
      </c>
      <c r="C590" s="47">
        <v>600000</v>
      </c>
      <c r="D590" s="47">
        <f>600000-200000</f>
        <v>400000</v>
      </c>
      <c r="E590" s="364">
        <v>277259.90000000002</v>
      </c>
      <c r="F590" s="364"/>
      <c r="G590" s="47">
        <f t="shared" si="67"/>
        <v>46.209983333333341</v>
      </c>
      <c r="H590" s="47">
        <f t="shared" si="68"/>
        <v>69.314975000000004</v>
      </c>
      <c r="I590" s="47">
        <f t="shared" si="69"/>
        <v>262.93780901201978</v>
      </c>
      <c r="J590" s="19">
        <v>105446.95</v>
      </c>
    </row>
    <row r="591" spans="1:10" s="345" customFormat="1" x14ac:dyDescent="0.2">
      <c r="A591" s="360" t="s">
        <v>705</v>
      </c>
      <c r="B591" s="361" t="s">
        <v>706</v>
      </c>
      <c r="C591" s="344">
        <v>679000</v>
      </c>
      <c r="D591" s="344">
        <f>SUM(D592:D594)</f>
        <v>529000</v>
      </c>
      <c r="E591" s="114">
        <v>456641</v>
      </c>
      <c r="F591" s="70">
        <f>SUM(E592:E594)</f>
        <v>456641</v>
      </c>
      <c r="G591" s="106">
        <f t="shared" si="67"/>
        <v>67.251988217967593</v>
      </c>
      <c r="H591" s="106">
        <f t="shared" si="68"/>
        <v>86.32155009451796</v>
      </c>
      <c r="I591" s="106">
        <f t="shared" si="69"/>
        <v>127.93003085341503</v>
      </c>
      <c r="J591" s="34">
        <v>356945.9</v>
      </c>
    </row>
    <row r="592" spans="1:10" s="345" customFormat="1" x14ac:dyDescent="0.2">
      <c r="A592" s="358"/>
      <c r="B592" s="362" t="s">
        <v>707</v>
      </c>
      <c r="C592" s="47">
        <v>200000</v>
      </c>
      <c r="D592" s="47">
        <f>200000-10000</f>
        <v>190000</v>
      </c>
      <c r="E592" s="70">
        <v>169158</v>
      </c>
      <c r="F592" s="70"/>
      <c r="G592" s="47">
        <f t="shared" si="67"/>
        <v>84.579000000000008</v>
      </c>
      <c r="H592" s="47">
        <f t="shared" si="68"/>
        <v>89.030526315789473</v>
      </c>
      <c r="I592" s="47">
        <v>0</v>
      </c>
      <c r="J592" s="19">
        <v>0</v>
      </c>
    </row>
    <row r="593" spans="1:10" s="345" customFormat="1" ht="12.75" customHeight="1" x14ac:dyDescent="0.2">
      <c r="A593" s="358"/>
      <c r="B593" s="359" t="s">
        <v>708</v>
      </c>
      <c r="C593" s="47">
        <v>41000</v>
      </c>
      <c r="D593" s="47">
        <f>41000+10000</f>
        <v>51000</v>
      </c>
      <c r="E593" s="70">
        <v>45867</v>
      </c>
      <c r="F593" s="70"/>
      <c r="G593" s="47">
        <f t="shared" si="67"/>
        <v>111.87073170731708</v>
      </c>
      <c r="H593" s="47">
        <f t="shared" si="68"/>
        <v>89.935294117647061</v>
      </c>
      <c r="I593" s="47">
        <f t="shared" si="69"/>
        <v>360.78816959018332</v>
      </c>
      <c r="J593" s="19">
        <v>12713</v>
      </c>
    </row>
    <row r="594" spans="1:10" s="73" customFormat="1" ht="38.25" x14ac:dyDescent="0.2">
      <c r="A594" s="358"/>
      <c r="B594" s="359" t="s">
        <v>709</v>
      </c>
      <c r="C594" s="47">
        <v>438000</v>
      </c>
      <c r="D594" s="47">
        <f>438000-150000</f>
        <v>288000</v>
      </c>
      <c r="E594" s="70">
        <v>241616</v>
      </c>
      <c r="F594" s="70"/>
      <c r="G594" s="47">
        <f t="shared" si="67"/>
        <v>55.163470319634698</v>
      </c>
      <c r="H594" s="47">
        <f t="shared" si="68"/>
        <v>83.894444444444446</v>
      </c>
      <c r="I594" s="47">
        <f t="shared" si="69"/>
        <v>70.189688434777736</v>
      </c>
      <c r="J594" s="19">
        <v>344232.9</v>
      </c>
    </row>
    <row r="595" spans="1:10" s="73" customFormat="1" x14ac:dyDescent="0.2">
      <c r="A595" s="360" t="s">
        <v>710</v>
      </c>
      <c r="B595" s="365" t="s">
        <v>711</v>
      </c>
      <c r="C595" s="344">
        <f>SUM(C596:C597)</f>
        <v>1110000</v>
      </c>
      <c r="D595" s="344">
        <f>SUM(D596:D597)</f>
        <v>12000</v>
      </c>
      <c r="E595" s="114">
        <v>3328.29</v>
      </c>
      <c r="F595" s="114">
        <f>SUM(E596:E597)</f>
        <v>3328.29</v>
      </c>
      <c r="G595" s="106">
        <f t="shared" si="67"/>
        <v>0.29984594594594594</v>
      </c>
      <c r="H595" s="106">
        <f t="shared" si="68"/>
        <v>27.735749999999999</v>
      </c>
      <c r="I595" s="106">
        <f t="shared" si="69"/>
        <v>0.91517647233509691</v>
      </c>
      <c r="J595" s="19">
        <v>363677.4</v>
      </c>
    </row>
    <row r="596" spans="1:10" s="73" customFormat="1" ht="12.75" customHeight="1" x14ac:dyDescent="0.2">
      <c r="A596" s="358"/>
      <c r="B596" s="359" t="s">
        <v>712</v>
      </c>
      <c r="C596" s="47">
        <v>1100000</v>
      </c>
      <c r="D596" s="47">
        <f>1100000-1000000-98000</f>
        <v>2000</v>
      </c>
      <c r="E596" s="70">
        <v>1930</v>
      </c>
      <c r="F596" s="70"/>
      <c r="G596" s="47">
        <f t="shared" si="67"/>
        <v>0.17545454545454545</v>
      </c>
      <c r="H596" s="47">
        <f t="shared" si="68"/>
        <v>96.5</v>
      </c>
      <c r="I596" s="47">
        <f t="shared" si="69"/>
        <v>0.53323445932374269</v>
      </c>
      <c r="J596" s="157">
        <v>361942.1</v>
      </c>
    </row>
    <row r="597" spans="1:10" s="73" customFormat="1" x14ac:dyDescent="0.2">
      <c r="A597" s="358"/>
      <c r="B597" s="359" t="s">
        <v>713</v>
      </c>
      <c r="C597" s="47">
        <v>10000</v>
      </c>
      <c r="D597" s="47">
        <v>10000</v>
      </c>
      <c r="E597" s="33">
        <v>1398.29</v>
      </c>
      <c r="F597" s="33"/>
      <c r="G597" s="47">
        <f t="shared" si="67"/>
        <v>13.982900000000001</v>
      </c>
      <c r="H597" s="47">
        <f t="shared" si="68"/>
        <v>13.982900000000001</v>
      </c>
      <c r="I597" s="47">
        <f t="shared" si="69"/>
        <v>80.579150579150578</v>
      </c>
      <c r="J597" s="34">
        <v>1735.3</v>
      </c>
    </row>
    <row r="598" spans="1:10" s="345" customFormat="1" ht="12.75" customHeight="1" x14ac:dyDescent="0.2">
      <c r="A598" s="360">
        <v>3392</v>
      </c>
      <c r="B598" s="365" t="s">
        <v>714</v>
      </c>
      <c r="C598" s="344">
        <f>C600+C599</f>
        <v>31910000</v>
      </c>
      <c r="D598" s="344">
        <f>D600+D599</f>
        <v>30475272.27</v>
      </c>
      <c r="E598" s="114">
        <v>30471227.27</v>
      </c>
      <c r="F598" s="114"/>
      <c r="G598" s="106">
        <f t="shared" si="67"/>
        <v>95.491154089627074</v>
      </c>
      <c r="H598" s="106">
        <f t="shared" si="68"/>
        <v>99.986726943850854</v>
      </c>
      <c r="I598" s="106">
        <f t="shared" si="69"/>
        <v>107.43493877872146</v>
      </c>
      <c r="J598" s="34">
        <v>28362493.260000002</v>
      </c>
    </row>
    <row r="599" spans="1:10" s="345" customFormat="1" x14ac:dyDescent="0.2">
      <c r="A599" s="360"/>
      <c r="B599" s="359" t="s">
        <v>715</v>
      </c>
      <c r="C599" s="47">
        <v>26000</v>
      </c>
      <c r="D599" s="47">
        <v>26000</v>
      </c>
      <c r="E599" s="47">
        <v>21955</v>
      </c>
      <c r="F599" s="47"/>
      <c r="G599" s="47">
        <f t="shared" si="67"/>
        <v>84.442307692307693</v>
      </c>
      <c r="H599" s="47">
        <f t="shared" si="68"/>
        <v>84.442307692307693</v>
      </c>
      <c r="I599" s="47">
        <f t="shared" si="69"/>
        <v>548.875</v>
      </c>
      <c r="J599" s="19">
        <v>4000</v>
      </c>
    </row>
    <row r="600" spans="1:10" s="345" customFormat="1" ht="12.75" customHeight="1" x14ac:dyDescent="0.2">
      <c r="A600" s="358"/>
      <c r="B600" s="359" t="s">
        <v>716</v>
      </c>
      <c r="C600" s="344">
        <f>SUM(C601+C603+C604)</f>
        <v>31884000</v>
      </c>
      <c r="D600" s="344">
        <f>SUM(D601+D603+D604)</f>
        <v>30449272.27</v>
      </c>
      <c r="E600" s="114">
        <v>30449272.27</v>
      </c>
      <c r="F600" s="70">
        <f>SUM(E601:E604)</f>
        <v>30449272.27</v>
      </c>
      <c r="G600" s="106">
        <f t="shared" si="67"/>
        <v>95.500163938025338</v>
      </c>
      <c r="H600" s="106">
        <f t="shared" si="68"/>
        <v>100</v>
      </c>
      <c r="I600" s="106">
        <f t="shared" si="69"/>
        <v>107.37267312064517</v>
      </c>
      <c r="J600" s="34">
        <v>28358493.260000002</v>
      </c>
    </row>
    <row r="601" spans="1:10" s="345" customFormat="1" ht="12.75" customHeight="1" x14ac:dyDescent="0.2">
      <c r="A601" s="358"/>
      <c r="B601" s="359" t="s">
        <v>717</v>
      </c>
      <c r="C601" s="47">
        <f>25000000+573000</f>
        <v>25573000</v>
      </c>
      <c r="D601" s="47">
        <f>(25000000+573000)+4450000+50000-573199+47000+19865-447868.62+4107+19064.59+(20760+267238+26782)+(447868.62-447898.62)</f>
        <v>29456718.969999999</v>
      </c>
      <c r="E601" s="70">
        <v>29456718.969999999</v>
      </c>
      <c r="F601" s="70"/>
      <c r="G601" s="47">
        <f t="shared" si="67"/>
        <v>115.18679454893832</v>
      </c>
      <c r="H601" s="47">
        <f t="shared" si="68"/>
        <v>100</v>
      </c>
      <c r="I601" s="47">
        <f t="shared" si="69"/>
        <v>112.76381116003778</v>
      </c>
      <c r="J601" s="19">
        <v>26122493.260000002</v>
      </c>
    </row>
    <row r="602" spans="1:10" s="345" customFormat="1" ht="12.75" customHeight="1" x14ac:dyDescent="0.2">
      <c r="A602" s="358"/>
      <c r="B602" s="359" t="s">
        <v>718</v>
      </c>
      <c r="C602" s="47"/>
      <c r="D602" s="47"/>
      <c r="E602" s="70"/>
      <c r="F602" s="70"/>
      <c r="G602" s="47"/>
      <c r="H602" s="47"/>
      <c r="I602" s="47"/>
      <c r="J602" s="34"/>
    </row>
    <row r="603" spans="1:10" s="73" customFormat="1" ht="46.5" customHeight="1" x14ac:dyDescent="0.2">
      <c r="A603" s="358"/>
      <c r="B603" s="359" t="s">
        <v>719</v>
      </c>
      <c r="C603" s="47">
        <f>4088000-431000+431000</f>
        <v>4088000</v>
      </c>
      <c r="D603" s="47">
        <f>4088000-431000+431000-2295000+(132246.3-431000-1009000)</f>
        <v>485246.30000000005</v>
      </c>
      <c r="E603" s="70">
        <v>485246.3</v>
      </c>
      <c r="F603" s="70"/>
      <c r="G603" s="47">
        <f t="shared" si="67"/>
        <v>11.870017123287671</v>
      </c>
      <c r="H603" s="47">
        <f t="shared" si="68"/>
        <v>99.999999999999986</v>
      </c>
      <c r="I603" s="47">
        <f t="shared" si="69"/>
        <v>32.453583163735175</v>
      </c>
      <c r="J603" s="19">
        <v>1495201</v>
      </c>
    </row>
    <row r="604" spans="1:10" s="73" customFormat="1" ht="36.75" x14ac:dyDescent="0.2">
      <c r="A604" s="358"/>
      <c r="B604" s="359" t="s">
        <v>720</v>
      </c>
      <c r="C604" s="47">
        <f>2053000+470000-300000</f>
        <v>2223000</v>
      </c>
      <c r="D604" s="47">
        <f>(2053000+470000-300000)-1781000+260000+(-181000-13693)</f>
        <v>507307</v>
      </c>
      <c r="E604" s="70">
        <v>507307</v>
      </c>
      <c r="F604" s="70"/>
      <c r="G604" s="47">
        <f t="shared" si="67"/>
        <v>22.820827710301394</v>
      </c>
      <c r="H604" s="47">
        <f t="shared" si="68"/>
        <v>100</v>
      </c>
      <c r="I604" s="47">
        <f t="shared" si="69"/>
        <v>68.481058964712432</v>
      </c>
      <c r="J604" s="19">
        <v>740799</v>
      </c>
    </row>
    <row r="605" spans="1:10" s="345" customFormat="1" ht="12.75" customHeight="1" x14ac:dyDescent="0.2">
      <c r="A605" s="360">
        <v>3399</v>
      </c>
      <c r="B605" s="365" t="s">
        <v>721</v>
      </c>
      <c r="C605" s="344">
        <f>C606</f>
        <v>250000</v>
      </c>
      <c r="D605" s="344">
        <f>D606</f>
        <v>230935.41</v>
      </c>
      <c r="E605" s="114">
        <v>140048</v>
      </c>
      <c r="F605" s="70"/>
      <c r="G605" s="106">
        <f t="shared" si="67"/>
        <v>56.019200000000005</v>
      </c>
      <c r="H605" s="106">
        <f t="shared" si="68"/>
        <v>60.643796462396125</v>
      </c>
      <c r="I605" s="106">
        <f t="shared" si="69"/>
        <v>111.08018676331986</v>
      </c>
      <c r="J605" s="19">
        <v>126078.29</v>
      </c>
    </row>
    <row r="606" spans="1:10" s="345" customFormat="1" ht="13.5" thickBot="1" x14ac:dyDescent="0.25">
      <c r="A606" s="358"/>
      <c r="B606" s="359" t="s">
        <v>722</v>
      </c>
      <c r="C606" s="47">
        <v>250000</v>
      </c>
      <c r="D606" s="47">
        <f>250000-19064.59</f>
        <v>230935.41</v>
      </c>
      <c r="E606" s="125">
        <v>140048</v>
      </c>
      <c r="F606" s="125"/>
      <c r="G606" s="47">
        <f t="shared" si="67"/>
        <v>56.019200000000005</v>
      </c>
      <c r="H606" s="47">
        <f t="shared" si="68"/>
        <v>60.643796462396125</v>
      </c>
      <c r="I606" s="47">
        <f t="shared" si="69"/>
        <v>111.08018676331986</v>
      </c>
      <c r="J606" s="19">
        <v>126078.29</v>
      </c>
    </row>
    <row r="607" spans="1:10" s="345" customFormat="1" ht="16.5" thickBot="1" x14ac:dyDescent="0.3">
      <c r="A607" s="295"/>
      <c r="B607" s="172" t="s">
        <v>723</v>
      </c>
      <c r="C607" s="366">
        <f t="shared" ref="C607:D607" si="72">C608</f>
        <v>23570270</v>
      </c>
      <c r="D607" s="366">
        <f t="shared" si="72"/>
        <v>29581296.699999999</v>
      </c>
      <c r="E607" s="128">
        <v>28557058.699999999</v>
      </c>
      <c r="F607" s="217">
        <f>SUM(E608)</f>
        <v>28557058.699999999</v>
      </c>
      <c r="G607" s="128">
        <f t="shared" si="67"/>
        <v>121.15711317689615</v>
      </c>
      <c r="H607" s="128">
        <f t="shared" si="68"/>
        <v>96.537548673449464</v>
      </c>
      <c r="I607" s="128">
        <f t="shared" si="69"/>
        <v>155.67840630734315</v>
      </c>
      <c r="J607" s="19">
        <v>18343622.199999999</v>
      </c>
    </row>
    <row r="608" spans="1:10" s="345" customFormat="1" ht="12.75" customHeight="1" x14ac:dyDescent="0.2">
      <c r="A608" s="97"/>
      <c r="B608" s="140" t="s">
        <v>724</v>
      </c>
      <c r="C608" s="367">
        <f>SUM(C609:C618)</f>
        <v>23570270</v>
      </c>
      <c r="D608" s="367">
        <f>SUM(D609:D618)</f>
        <v>29581296.699999999</v>
      </c>
      <c r="E608" s="106">
        <v>28557058.699999999</v>
      </c>
      <c r="F608" s="106">
        <f>SUM(E609:E618)</f>
        <v>28557058.699999999</v>
      </c>
      <c r="G608" s="106">
        <f t="shared" si="67"/>
        <v>121.15711317689615</v>
      </c>
      <c r="H608" s="106">
        <f t="shared" si="68"/>
        <v>96.537548673449464</v>
      </c>
      <c r="I608" s="106">
        <f t="shared" si="69"/>
        <v>155.67840630734315</v>
      </c>
      <c r="J608" s="19">
        <v>18343622.199999999</v>
      </c>
    </row>
    <row r="609" spans="1:11" s="73" customFormat="1" ht="12.75" customHeight="1" x14ac:dyDescent="0.2">
      <c r="A609" s="112"/>
      <c r="B609" s="115" t="s">
        <v>725</v>
      </c>
      <c r="C609" s="47">
        <v>976000</v>
      </c>
      <c r="D609" s="47">
        <v>976000</v>
      </c>
      <c r="E609" s="47">
        <v>885000</v>
      </c>
      <c r="F609" s="47"/>
      <c r="G609" s="47">
        <f t="shared" si="67"/>
        <v>90.676229508196727</v>
      </c>
      <c r="H609" s="47">
        <f t="shared" si="68"/>
        <v>90.676229508196727</v>
      </c>
      <c r="I609" s="47">
        <f t="shared" si="69"/>
        <v>101.02739726027397</v>
      </c>
      <c r="J609" s="19">
        <v>876000</v>
      </c>
    </row>
    <row r="610" spans="1:11" s="73" customFormat="1" ht="12.75" customHeight="1" x14ac:dyDescent="0.2">
      <c r="A610" s="112"/>
      <c r="B610" s="115" t="s">
        <v>726</v>
      </c>
      <c r="C610" s="47">
        <v>324000</v>
      </c>
      <c r="D610" s="47">
        <v>324000</v>
      </c>
      <c r="E610" s="70">
        <v>162800</v>
      </c>
      <c r="F610" s="70"/>
      <c r="G610" s="47">
        <f t="shared" si="67"/>
        <v>50.246913580246911</v>
      </c>
      <c r="H610" s="47">
        <f t="shared" si="68"/>
        <v>50.246913580246911</v>
      </c>
      <c r="I610" s="47">
        <f t="shared" si="69"/>
        <v>205.81542351453854</v>
      </c>
      <c r="J610" s="326">
        <v>79100</v>
      </c>
    </row>
    <row r="611" spans="1:11" s="73" customFormat="1" ht="12.75" customHeight="1" x14ac:dyDescent="0.2">
      <c r="A611" s="112"/>
      <c r="B611" s="115" t="s">
        <v>727</v>
      </c>
      <c r="C611" s="47">
        <v>3516500</v>
      </c>
      <c r="D611" s="47">
        <f>3516500-50000-40000</f>
        <v>3426500</v>
      </c>
      <c r="E611" s="160">
        <v>3393500</v>
      </c>
      <c r="F611" s="160"/>
      <c r="G611" s="47">
        <f t="shared" si="67"/>
        <v>96.502203895919237</v>
      </c>
      <c r="H611" s="47">
        <f t="shared" si="68"/>
        <v>99.036918138041727</v>
      </c>
      <c r="I611" s="47">
        <f t="shared" si="69"/>
        <v>113.9305102784222</v>
      </c>
      <c r="J611" s="328">
        <v>2978570</v>
      </c>
    </row>
    <row r="612" spans="1:11" s="345" customFormat="1" ht="12.75" customHeight="1" x14ac:dyDescent="0.2">
      <c r="A612" s="112"/>
      <c r="B612" s="115" t="s">
        <v>728</v>
      </c>
      <c r="C612" s="47">
        <v>5889500</v>
      </c>
      <c r="D612" s="47">
        <v>5889500</v>
      </c>
      <c r="E612" s="70">
        <v>5888800</v>
      </c>
      <c r="F612" s="70"/>
      <c r="G612" s="47">
        <f t="shared" si="67"/>
        <v>99.988114440954249</v>
      </c>
      <c r="H612" s="47">
        <f t="shared" si="68"/>
        <v>99.988114440954249</v>
      </c>
      <c r="I612" s="47">
        <f t="shared" si="69"/>
        <v>107.66929830655985</v>
      </c>
      <c r="J612" s="328">
        <v>5469340</v>
      </c>
    </row>
    <row r="613" spans="1:11" s="345" customFormat="1" ht="12.75" customHeight="1" x14ac:dyDescent="0.2">
      <c r="A613" s="112"/>
      <c r="B613" s="115" t="s">
        <v>729</v>
      </c>
      <c r="C613" s="47">
        <v>40000</v>
      </c>
      <c r="D613" s="47">
        <v>40000</v>
      </c>
      <c r="E613" s="47">
        <v>40000</v>
      </c>
      <c r="F613" s="47"/>
      <c r="G613" s="47">
        <f t="shared" si="67"/>
        <v>100</v>
      </c>
      <c r="H613" s="47">
        <f t="shared" si="68"/>
        <v>100</v>
      </c>
      <c r="I613" s="47">
        <f t="shared" si="69"/>
        <v>181.81818181818181</v>
      </c>
      <c r="J613" s="34">
        <v>22000</v>
      </c>
    </row>
    <row r="614" spans="1:11" s="345" customFormat="1" ht="12.75" customHeight="1" x14ac:dyDescent="0.2">
      <c r="A614" s="112"/>
      <c r="B614" s="115" t="s">
        <v>730</v>
      </c>
      <c r="C614" s="47">
        <v>6500000</v>
      </c>
      <c r="D614" s="47">
        <v>6500000</v>
      </c>
      <c r="E614" s="70">
        <v>6500000</v>
      </c>
      <c r="F614" s="70"/>
      <c r="G614" s="47">
        <f t="shared" si="67"/>
        <v>100</v>
      </c>
      <c r="H614" s="47">
        <f t="shared" si="68"/>
        <v>100</v>
      </c>
      <c r="I614" s="47">
        <f t="shared" si="69"/>
        <v>100</v>
      </c>
      <c r="J614" s="34">
        <v>6500000</v>
      </c>
    </row>
    <row r="615" spans="1:11" s="345" customFormat="1" ht="12.75" customHeight="1" x14ac:dyDescent="0.2">
      <c r="A615" s="112"/>
      <c r="B615" s="115" t="s">
        <v>731</v>
      </c>
      <c r="C615" s="47">
        <v>728160</v>
      </c>
      <c r="D615" s="47">
        <v>728160</v>
      </c>
      <c r="E615" s="24">
        <v>643000</v>
      </c>
      <c r="F615" s="24"/>
      <c r="G615" s="47">
        <f t="shared" si="67"/>
        <v>88.304768182816957</v>
      </c>
      <c r="H615" s="47">
        <f t="shared" si="68"/>
        <v>88.304768182816957</v>
      </c>
      <c r="I615" s="47">
        <f t="shared" si="69"/>
        <v>97.86910197869102</v>
      </c>
      <c r="J615" s="19">
        <v>657000</v>
      </c>
    </row>
    <row r="616" spans="1:11" s="345" customFormat="1" ht="12.75" customHeight="1" x14ac:dyDescent="0.2">
      <c r="A616" s="112"/>
      <c r="B616" s="115" t="s">
        <v>732</v>
      </c>
      <c r="C616" s="47">
        <v>91840</v>
      </c>
      <c r="D616" s="47">
        <v>91840</v>
      </c>
      <c r="E616" s="47">
        <v>80885</v>
      </c>
      <c r="F616" s="47"/>
      <c r="G616" s="47">
        <f t="shared" ref="G616:G679" si="73">E616/C616*100</f>
        <v>88.071646341463421</v>
      </c>
      <c r="H616" s="47">
        <f t="shared" ref="H616:H678" si="74">E616/D616*100</f>
        <v>88.071646341463421</v>
      </c>
      <c r="I616" s="47">
        <f t="shared" ref="I616:I677" si="75">E616/J616*100</f>
        <v>1078.4666666666667</v>
      </c>
      <c r="J616" s="19">
        <v>7500</v>
      </c>
    </row>
    <row r="617" spans="1:11" s="345" customFormat="1" ht="12.75" customHeight="1" x14ac:dyDescent="0.2">
      <c r="A617" s="112"/>
      <c r="B617" s="115" t="s">
        <v>733</v>
      </c>
      <c r="C617" s="47">
        <v>500000</v>
      </c>
      <c r="D617" s="47">
        <v>500000</v>
      </c>
      <c r="E617" s="70">
        <v>500000</v>
      </c>
      <c r="F617" s="70"/>
      <c r="G617" s="47">
        <f t="shared" si="73"/>
        <v>100</v>
      </c>
      <c r="H617" s="47">
        <f t="shared" si="74"/>
        <v>100</v>
      </c>
      <c r="I617" s="47">
        <v>0</v>
      </c>
      <c r="J617" s="19">
        <v>0</v>
      </c>
    </row>
    <row r="618" spans="1:11" s="345" customFormat="1" ht="48" customHeight="1" x14ac:dyDescent="0.2">
      <c r="A618" s="97"/>
      <c r="B618" s="368" t="s">
        <v>734</v>
      </c>
      <c r="C618" s="141">
        <f>175000+323130+15000+52140+90000+200000+3649000+500000</f>
        <v>5004270</v>
      </c>
      <c r="D618" s="141">
        <f>(175000+323130+15000+52140+90000+200000+3649000+500000)+950000+(430.8+21441)+25000+230000+20000+600000+600000+(3925018.9-3731500)+49000+50000+40000+69500+1150000+100000+800000+950000+50000+147136+25000+30000</f>
        <v>11105296.699999999</v>
      </c>
      <c r="E618" s="70">
        <v>10463073.699999999</v>
      </c>
      <c r="F618" s="70"/>
      <c r="G618" s="47">
        <f t="shared" si="73"/>
        <v>209.08291718872084</v>
      </c>
      <c r="H618" s="47">
        <f t="shared" si="74"/>
        <v>94.216966756052543</v>
      </c>
      <c r="I618" s="47">
        <f t="shared" si="75"/>
        <v>596.48828051022042</v>
      </c>
      <c r="J618" s="19">
        <v>1754112.2</v>
      </c>
    </row>
    <row r="619" spans="1:11" ht="13.5" thickBot="1" x14ac:dyDescent="0.25">
      <c r="A619" s="97"/>
      <c r="B619" s="115"/>
      <c r="C619" s="47"/>
      <c r="D619" s="47"/>
      <c r="E619" s="125"/>
      <c r="F619" s="125"/>
      <c r="G619" s="160"/>
      <c r="H619" s="160"/>
      <c r="I619" s="160"/>
      <c r="J619" s="19"/>
    </row>
    <row r="620" spans="1:11" ht="21" customHeight="1" thickBot="1" x14ac:dyDescent="0.35">
      <c r="A620" s="295"/>
      <c r="B620" s="82" t="s">
        <v>31</v>
      </c>
      <c r="C620" s="195">
        <f t="shared" ref="C620:D621" si="76">C621</f>
        <v>26641500</v>
      </c>
      <c r="D620" s="195">
        <f t="shared" si="76"/>
        <v>26255100</v>
      </c>
      <c r="E620" s="195">
        <v>24812220.170000002</v>
      </c>
      <c r="F620" s="196">
        <f>SUM(E621)</f>
        <v>24812220.170000002</v>
      </c>
      <c r="G620" s="195">
        <f t="shared" si="73"/>
        <v>93.133720586303326</v>
      </c>
      <c r="H620" s="195">
        <f t="shared" si="74"/>
        <v>94.504382653274988</v>
      </c>
      <c r="I620" s="195">
        <f t="shared" si="75"/>
        <v>109.06503560166428</v>
      </c>
      <c r="J620" s="34">
        <v>22749930.84</v>
      </c>
    </row>
    <row r="621" spans="1:11" ht="12" customHeight="1" x14ac:dyDescent="0.2">
      <c r="A621" s="97">
        <v>5311</v>
      </c>
      <c r="B621" s="183" t="s">
        <v>735</v>
      </c>
      <c r="C621" s="106">
        <f t="shared" si="76"/>
        <v>26641500</v>
      </c>
      <c r="D621" s="106">
        <f t="shared" si="76"/>
        <v>26255100</v>
      </c>
      <c r="E621" s="369">
        <v>24812220.170000002</v>
      </c>
      <c r="F621" s="369"/>
      <c r="G621" s="106">
        <f t="shared" si="73"/>
        <v>93.133720586303326</v>
      </c>
      <c r="H621" s="106">
        <f t="shared" si="74"/>
        <v>94.504382653274988</v>
      </c>
      <c r="I621" s="106">
        <f t="shared" si="75"/>
        <v>109.06503560166428</v>
      </c>
      <c r="J621" s="19">
        <v>22749930.84</v>
      </c>
    </row>
    <row r="622" spans="1:11" ht="63.75" x14ac:dyDescent="0.2">
      <c r="A622" s="97"/>
      <c r="B622" s="263" t="s">
        <v>736</v>
      </c>
      <c r="C622" s="370">
        <v>26641500</v>
      </c>
      <c r="D622" s="370">
        <f>26641500+(-600000-54000-54000)+321600</f>
        <v>26255100</v>
      </c>
      <c r="E622" s="70">
        <v>24812220.170000002</v>
      </c>
      <c r="F622" s="70"/>
      <c r="G622" s="47">
        <f t="shared" si="73"/>
        <v>93.133720586303326</v>
      </c>
      <c r="H622" s="47">
        <f t="shared" si="74"/>
        <v>94.504382653274988</v>
      </c>
      <c r="I622" s="47">
        <f t="shared" si="75"/>
        <v>109.06503560166428</v>
      </c>
      <c r="J622" s="19">
        <v>22749930.84</v>
      </c>
      <c r="K622" s="371"/>
    </row>
    <row r="623" spans="1:11" ht="12.75" customHeight="1" thickBot="1" x14ac:dyDescent="0.25">
      <c r="A623" s="372"/>
      <c r="B623" s="373"/>
      <c r="C623" s="160"/>
      <c r="D623" s="160"/>
      <c r="E623" s="126"/>
      <c r="F623" s="160"/>
      <c r="G623" s="126"/>
      <c r="H623" s="126"/>
      <c r="I623" s="126"/>
    </row>
    <row r="624" spans="1:11" ht="21" thickBot="1" x14ac:dyDescent="0.35">
      <c r="A624" s="295"/>
      <c r="B624" s="82" t="s">
        <v>32</v>
      </c>
      <c r="C624" s="79">
        <f>SUM(C625:C632,C643:C644)</f>
        <v>36207950</v>
      </c>
      <c r="D624" s="79">
        <f>SUM(D625:D632,D643:D644)</f>
        <v>42345367.5</v>
      </c>
      <c r="E624" s="195">
        <v>34055315.590000004</v>
      </c>
      <c r="F624" s="196">
        <f>SUM(E625:E632,E643:E644)</f>
        <v>34055315.590000004</v>
      </c>
      <c r="G624" s="195">
        <f t="shared" si="73"/>
        <v>94.054801749339589</v>
      </c>
      <c r="H624" s="195">
        <f t="shared" si="74"/>
        <v>80.422765465431382</v>
      </c>
      <c r="I624" s="195">
        <f t="shared" si="75"/>
        <v>130.69847657805241</v>
      </c>
      <c r="J624" s="19">
        <v>26056398.27</v>
      </c>
    </row>
    <row r="625" spans="1:10" ht="36.75" x14ac:dyDescent="0.2">
      <c r="A625" s="97">
        <v>3429</v>
      </c>
      <c r="B625" s="263" t="s">
        <v>737</v>
      </c>
      <c r="C625" s="106">
        <v>0</v>
      </c>
      <c r="D625" s="106">
        <v>565000</v>
      </c>
      <c r="E625" s="114">
        <v>544631.34</v>
      </c>
      <c r="F625" s="114"/>
      <c r="G625" s="106">
        <v>0</v>
      </c>
      <c r="H625" s="106">
        <f t="shared" si="74"/>
        <v>96.394927433628311</v>
      </c>
      <c r="I625" s="106">
        <v>0</v>
      </c>
      <c r="J625" s="19">
        <v>0</v>
      </c>
    </row>
    <row r="626" spans="1:10" s="21" customFormat="1" ht="36.75" x14ac:dyDescent="0.2">
      <c r="A626" s="92">
        <v>5212</v>
      </c>
      <c r="B626" s="207" t="s">
        <v>738</v>
      </c>
      <c r="C626" s="106">
        <v>161000</v>
      </c>
      <c r="D626" s="106">
        <v>161000</v>
      </c>
      <c r="E626" s="106">
        <v>97814</v>
      </c>
      <c r="F626" s="106"/>
      <c r="G626" s="106">
        <f t="shared" si="73"/>
        <v>60.75403726708074</v>
      </c>
      <c r="H626" s="106">
        <f t="shared" si="74"/>
        <v>60.75403726708074</v>
      </c>
      <c r="I626" s="106">
        <f t="shared" si="75"/>
        <v>99.420556659166806</v>
      </c>
      <c r="J626" s="19">
        <v>98384.08</v>
      </c>
    </row>
    <row r="627" spans="1:10" s="76" customFormat="1" ht="24.75" x14ac:dyDescent="0.25">
      <c r="A627" s="97">
        <v>5213</v>
      </c>
      <c r="B627" s="187" t="s">
        <v>739</v>
      </c>
      <c r="C627" s="106">
        <v>200000</v>
      </c>
      <c r="D627" s="106">
        <v>200000</v>
      </c>
      <c r="E627" s="106">
        <v>35854</v>
      </c>
      <c r="F627" s="106"/>
      <c r="G627" s="106">
        <f t="shared" si="73"/>
        <v>17.927</v>
      </c>
      <c r="H627" s="106">
        <f t="shared" si="74"/>
        <v>17.927</v>
      </c>
      <c r="I627" s="106">
        <f t="shared" si="75"/>
        <v>13.105050426336303</v>
      </c>
      <c r="J627" s="19">
        <v>273589.18</v>
      </c>
    </row>
    <row r="628" spans="1:10" s="21" customFormat="1" ht="24.75" x14ac:dyDescent="0.2">
      <c r="A628" s="97">
        <v>5273</v>
      </c>
      <c r="B628" s="187" t="s">
        <v>740</v>
      </c>
      <c r="C628" s="106">
        <v>5000</v>
      </c>
      <c r="D628" s="106">
        <v>5000</v>
      </c>
      <c r="E628" s="114">
        <v>0</v>
      </c>
      <c r="F628" s="70"/>
      <c r="G628" s="106">
        <f t="shared" si="73"/>
        <v>0</v>
      </c>
      <c r="H628" s="106">
        <f t="shared" si="74"/>
        <v>0</v>
      </c>
      <c r="I628" s="106">
        <v>0</v>
      </c>
      <c r="J628" s="19">
        <v>0</v>
      </c>
    </row>
    <row r="629" spans="1:10" s="76" customFormat="1" ht="15.75" x14ac:dyDescent="0.25">
      <c r="A629" s="97">
        <v>5511</v>
      </c>
      <c r="B629" s="187" t="s">
        <v>741</v>
      </c>
      <c r="C629" s="106">
        <v>1900000</v>
      </c>
      <c r="D629" s="106">
        <v>1900000</v>
      </c>
      <c r="E629" s="106">
        <v>1763194</v>
      </c>
      <c r="F629" s="47"/>
      <c r="G629" s="106">
        <f t="shared" si="73"/>
        <v>92.799684210526308</v>
      </c>
      <c r="H629" s="106">
        <f t="shared" si="74"/>
        <v>92.799684210526308</v>
      </c>
      <c r="I629" s="106">
        <f t="shared" si="75"/>
        <v>103.8000288465218</v>
      </c>
      <c r="J629" s="19">
        <v>1698645</v>
      </c>
    </row>
    <row r="630" spans="1:10" s="76" customFormat="1" ht="36.75" x14ac:dyDescent="0.25">
      <c r="A630" s="97">
        <v>5512</v>
      </c>
      <c r="B630" s="187" t="s">
        <v>742</v>
      </c>
      <c r="C630" s="106">
        <v>141000</v>
      </c>
      <c r="D630" s="106">
        <v>141000</v>
      </c>
      <c r="E630" s="114">
        <v>97969.56</v>
      </c>
      <c r="F630" s="70"/>
      <c r="G630" s="106">
        <f t="shared" si="73"/>
        <v>69.481957446808508</v>
      </c>
      <c r="H630" s="106">
        <f t="shared" si="74"/>
        <v>69.481957446808508</v>
      </c>
      <c r="I630" s="106">
        <f t="shared" si="75"/>
        <v>29.589415344112219</v>
      </c>
      <c r="J630" s="19">
        <v>331096.64</v>
      </c>
    </row>
    <row r="631" spans="1:10" s="76" customFormat="1" ht="12.75" customHeight="1" x14ac:dyDescent="0.25">
      <c r="A631" s="97">
        <v>6112</v>
      </c>
      <c r="B631" s="183" t="s">
        <v>743</v>
      </c>
      <c r="C631" s="114">
        <v>0</v>
      </c>
      <c r="D631" s="114">
        <v>600000</v>
      </c>
      <c r="E631" s="114">
        <v>466346</v>
      </c>
      <c r="F631" s="70"/>
      <c r="G631" s="106">
        <v>0</v>
      </c>
      <c r="H631" s="106">
        <f t="shared" si="74"/>
        <v>77.724333333333334</v>
      </c>
      <c r="I631" s="106">
        <v>0</v>
      </c>
      <c r="J631" s="19">
        <v>0</v>
      </c>
    </row>
    <row r="632" spans="1:10" s="76" customFormat="1" ht="12.75" customHeight="1" x14ac:dyDescent="0.25">
      <c r="A632" s="97">
        <v>6171</v>
      </c>
      <c r="B632" s="183" t="s">
        <v>744</v>
      </c>
      <c r="C632" s="114">
        <f t="shared" ref="C632:D632" si="77">SUM(C633:C642)</f>
        <v>31850950</v>
      </c>
      <c r="D632" s="114">
        <f t="shared" si="77"/>
        <v>32750017.5</v>
      </c>
      <c r="E632" s="114">
        <v>25769296.690000001</v>
      </c>
      <c r="F632" s="70">
        <f>SUM(E633:E642)</f>
        <v>25769296.629999999</v>
      </c>
      <c r="G632" s="106">
        <f t="shared" si="73"/>
        <v>80.905896653004078</v>
      </c>
      <c r="H632" s="106">
        <f t="shared" si="74"/>
        <v>78.684833343982191</v>
      </c>
      <c r="I632" s="106">
        <f t="shared" si="75"/>
        <v>114.9713385361201</v>
      </c>
      <c r="J632" s="19">
        <v>22413670.239999998</v>
      </c>
    </row>
    <row r="633" spans="1:10" s="76" customFormat="1" ht="135.75" customHeight="1" x14ac:dyDescent="0.25">
      <c r="A633" s="97"/>
      <c r="B633" s="374" t="s">
        <v>745</v>
      </c>
      <c r="C633" s="47">
        <f>24213290-2057000</f>
        <v>22156290</v>
      </c>
      <c r="D633" s="47">
        <f>24213290-2057000+137000+19630-50000+570000+(-50000-57000)+(-1679249.36+470091.05)+(-320000+280000)-80000-119790-3045021.37</f>
        <v>18231950.32</v>
      </c>
      <c r="E633" s="125">
        <v>14514060.98</v>
      </c>
      <c r="F633" s="125"/>
      <c r="G633" s="47">
        <f t="shared" si="73"/>
        <v>65.507632279591931</v>
      </c>
      <c r="H633" s="47">
        <f t="shared" si="74"/>
        <v>79.607835285062365</v>
      </c>
      <c r="I633" s="47">
        <f t="shared" si="75"/>
        <v>99.460783855970575</v>
      </c>
      <c r="J633" s="19">
        <v>14592747.43</v>
      </c>
    </row>
    <row r="634" spans="1:10" s="76" customFormat="1" ht="15.75" x14ac:dyDescent="0.25">
      <c r="A634" s="97"/>
      <c r="B634" s="374" t="s">
        <v>746</v>
      </c>
      <c r="C634" s="47">
        <v>0</v>
      </c>
      <c r="D634" s="47">
        <v>3045021.37</v>
      </c>
      <c r="E634" s="375">
        <v>3045021.31</v>
      </c>
      <c r="F634" s="376"/>
      <c r="G634" s="47">
        <v>0</v>
      </c>
      <c r="H634" s="47">
        <f t="shared" si="74"/>
        <v>99.999998029570477</v>
      </c>
      <c r="I634" s="47">
        <v>0</v>
      </c>
      <c r="J634" s="19">
        <v>0</v>
      </c>
    </row>
    <row r="635" spans="1:10" s="76" customFormat="1" ht="15.75" x14ac:dyDescent="0.25">
      <c r="A635" s="97"/>
      <c r="B635" s="374" t="s">
        <v>747</v>
      </c>
      <c r="C635" s="47">
        <f>550000-550000+150000</f>
        <v>150000</v>
      </c>
      <c r="D635" s="47">
        <f>550000-550000+150000+463000+50000+(50000+57000)+(759691.71+449466.6)+308000+40000+80000</f>
        <v>2407158.31</v>
      </c>
      <c r="E635" s="375">
        <v>2084726.05</v>
      </c>
      <c r="F635" s="376"/>
      <c r="G635" s="47">
        <f t="shared" si="73"/>
        <v>1389.8173666666667</v>
      </c>
      <c r="H635" s="47">
        <f t="shared" si="74"/>
        <v>86.605274000445775</v>
      </c>
      <c r="I635" s="47">
        <f t="shared" si="75"/>
        <v>156.6864276345257</v>
      </c>
      <c r="J635" s="19">
        <v>1330508.3799999999</v>
      </c>
    </row>
    <row r="636" spans="1:10" s="21" customFormat="1" ht="36" x14ac:dyDescent="0.2">
      <c r="A636" s="112"/>
      <c r="B636" s="377" t="s">
        <v>748</v>
      </c>
      <c r="C636" s="47">
        <v>6173850</v>
      </c>
      <c r="D636" s="47">
        <f>6173850-600000-102693+25000+62000-124000</f>
        <v>5434157</v>
      </c>
      <c r="E636" s="378">
        <v>3223103.37</v>
      </c>
      <c r="F636" s="379"/>
      <c r="G636" s="47">
        <f t="shared" si="73"/>
        <v>52.205728516241891</v>
      </c>
      <c r="H636" s="47">
        <f t="shared" si="74"/>
        <v>59.311929522831228</v>
      </c>
      <c r="I636" s="47">
        <f t="shared" si="75"/>
        <v>135.82791454367731</v>
      </c>
      <c r="J636" s="19">
        <v>2372931.5</v>
      </c>
    </row>
    <row r="637" spans="1:10" ht="24" x14ac:dyDescent="0.2">
      <c r="A637" s="112"/>
      <c r="B637" s="377" t="s">
        <v>749</v>
      </c>
      <c r="C637" s="47">
        <v>2372810</v>
      </c>
      <c r="D637" s="47">
        <f>2372810+(59625+506812.5)+102693-25000-62000+(-33423.1-16711.55-284096.39-9075-154275-18150)+124000</f>
        <v>2563209.46</v>
      </c>
      <c r="E637" s="47">
        <v>1872052</v>
      </c>
      <c r="F637" s="47"/>
      <c r="G637" s="47">
        <f t="shared" si="73"/>
        <v>78.895992515203488</v>
      </c>
      <c r="H637" s="47">
        <f t="shared" si="74"/>
        <v>73.035467027341568</v>
      </c>
      <c r="I637" s="47">
        <f t="shared" si="75"/>
        <v>61.663759953339749</v>
      </c>
      <c r="J637" s="19">
        <v>3035903.1</v>
      </c>
    </row>
    <row r="638" spans="1:10" x14ac:dyDescent="0.2">
      <c r="A638" s="112"/>
      <c r="B638" s="377" t="s">
        <v>750</v>
      </c>
      <c r="C638" s="47">
        <v>0</v>
      </c>
      <c r="D638" s="47">
        <f>(119790+33423.1+16711.55+284096.39+9075+154275+18150)</f>
        <v>635521.04</v>
      </c>
      <c r="E638" s="47">
        <v>635521.04</v>
      </c>
      <c r="F638" s="47"/>
      <c r="G638" s="47">
        <v>0</v>
      </c>
      <c r="H638" s="47">
        <f t="shared" si="74"/>
        <v>100</v>
      </c>
      <c r="I638" s="47">
        <v>0</v>
      </c>
      <c r="J638" s="19">
        <v>0</v>
      </c>
    </row>
    <row r="639" spans="1:10" ht="36.75" x14ac:dyDescent="0.2">
      <c r="A639" s="112"/>
      <c r="B639" s="263" t="s">
        <v>737</v>
      </c>
      <c r="C639" s="47">
        <v>565000</v>
      </c>
      <c r="D639" s="47">
        <f>565000-565000</f>
        <v>0</v>
      </c>
      <c r="E639" s="70">
        <v>0</v>
      </c>
      <c r="F639" s="70"/>
      <c r="G639" s="47">
        <f t="shared" si="73"/>
        <v>0</v>
      </c>
      <c r="H639" s="47">
        <v>0</v>
      </c>
      <c r="I639" s="47">
        <f t="shared" si="75"/>
        <v>0</v>
      </c>
      <c r="J639" s="19">
        <v>702284.96</v>
      </c>
    </row>
    <row r="640" spans="1:10" x14ac:dyDescent="0.2">
      <c r="A640" s="112"/>
      <c r="B640" s="237" t="s">
        <v>751</v>
      </c>
      <c r="C640" s="47">
        <v>200000</v>
      </c>
      <c r="D640" s="47">
        <v>200000</v>
      </c>
      <c r="E640" s="70">
        <v>195265.02</v>
      </c>
      <c r="F640" s="70"/>
      <c r="G640" s="47">
        <f t="shared" si="73"/>
        <v>97.632509999999996</v>
      </c>
      <c r="H640" s="47">
        <f t="shared" si="74"/>
        <v>97.632509999999996</v>
      </c>
      <c r="I640" s="47">
        <f t="shared" si="75"/>
        <v>106.59808592405898</v>
      </c>
      <c r="J640" s="19">
        <v>183178.73</v>
      </c>
    </row>
    <row r="641" spans="1:10" x14ac:dyDescent="0.2">
      <c r="A641" s="112"/>
      <c r="B641" s="237" t="s">
        <v>752</v>
      </c>
      <c r="C641" s="47">
        <v>60000</v>
      </c>
      <c r="D641" s="47">
        <v>60000</v>
      </c>
      <c r="E641" s="104">
        <v>32306.31</v>
      </c>
      <c r="F641" s="104"/>
      <c r="G641" s="47">
        <f t="shared" si="73"/>
        <v>53.843850000000003</v>
      </c>
      <c r="H641" s="47">
        <f t="shared" si="74"/>
        <v>53.843850000000003</v>
      </c>
      <c r="I641" s="47">
        <f t="shared" si="75"/>
        <v>97.460576902191619</v>
      </c>
      <c r="J641" s="19">
        <v>33148.080000000002</v>
      </c>
    </row>
    <row r="642" spans="1:10" ht="24.75" x14ac:dyDescent="0.2">
      <c r="A642" s="112"/>
      <c r="B642" s="263" t="s">
        <v>753</v>
      </c>
      <c r="C642" s="47">
        <v>173000</v>
      </c>
      <c r="D642" s="47">
        <v>173000</v>
      </c>
      <c r="E642" s="104">
        <v>167240.54999999999</v>
      </c>
      <c r="F642" s="104"/>
      <c r="G642" s="47">
        <f t="shared" si="73"/>
        <v>96.670838150289001</v>
      </c>
      <c r="H642" s="47">
        <f t="shared" si="74"/>
        <v>96.670838150289001</v>
      </c>
      <c r="I642" s="47">
        <f t="shared" si="75"/>
        <v>102.62167322848414</v>
      </c>
      <c r="J642" s="19">
        <v>162968.06</v>
      </c>
    </row>
    <row r="643" spans="1:10" ht="12.75" customHeight="1" x14ac:dyDescent="0.2">
      <c r="A643" s="97">
        <v>6221</v>
      </c>
      <c r="B643" s="183" t="s">
        <v>754</v>
      </c>
      <c r="C643" s="106">
        <v>0</v>
      </c>
      <c r="D643" s="106">
        <f>2216050+1268300+(75200+94600)+97800+105400+216000</f>
        <v>4073350</v>
      </c>
      <c r="E643" s="103">
        <v>4073350</v>
      </c>
      <c r="F643" s="104"/>
      <c r="G643" s="106">
        <v>0</v>
      </c>
      <c r="H643" s="106">
        <f t="shared" si="74"/>
        <v>100</v>
      </c>
      <c r="I643" s="106">
        <v>0</v>
      </c>
      <c r="J643" s="34">
        <v>0</v>
      </c>
    </row>
    <row r="644" spans="1:10" ht="12.75" customHeight="1" x14ac:dyDescent="0.2">
      <c r="A644" s="97">
        <v>6320</v>
      </c>
      <c r="B644" s="183" t="s">
        <v>755</v>
      </c>
      <c r="C644" s="106">
        <v>1950000</v>
      </c>
      <c r="D644" s="106">
        <v>1950000</v>
      </c>
      <c r="E644" s="103">
        <v>1206860</v>
      </c>
      <c r="F644" s="104"/>
      <c r="G644" s="106">
        <f t="shared" si="73"/>
        <v>61.890256410256406</v>
      </c>
      <c r="H644" s="106">
        <f t="shared" si="74"/>
        <v>61.890256410256406</v>
      </c>
      <c r="I644" s="106">
        <f t="shared" si="75"/>
        <v>97.24796384708678</v>
      </c>
      <c r="J644" s="34">
        <v>1241013.1299999999</v>
      </c>
    </row>
    <row r="645" spans="1:10" ht="12.75" customHeight="1" thickBot="1" x14ac:dyDescent="0.25">
      <c r="A645" s="316"/>
      <c r="B645" s="380"/>
      <c r="C645" s="170"/>
      <c r="D645" s="170"/>
      <c r="E645" s="125"/>
      <c r="F645" s="125"/>
      <c r="G645" s="106"/>
      <c r="H645" s="106"/>
      <c r="I645" s="106"/>
    </row>
    <row r="646" spans="1:10" ht="21" thickBot="1" x14ac:dyDescent="0.35">
      <c r="A646" s="295"/>
      <c r="B646" s="82" t="s">
        <v>33</v>
      </c>
      <c r="C646" s="381">
        <f>SUM(C647:C650,C654)</f>
        <v>160671480</v>
      </c>
      <c r="D646" s="381">
        <f>SUM(D647:D650,D654)</f>
        <v>158715080</v>
      </c>
      <c r="E646" s="195">
        <v>150477045.44999999</v>
      </c>
      <c r="F646" s="196">
        <f>SUM(E647:E650,E654)</f>
        <v>150477045.44999999</v>
      </c>
      <c r="G646" s="195">
        <f t="shared" si="73"/>
        <v>93.655106338722959</v>
      </c>
      <c r="H646" s="195">
        <f t="shared" si="74"/>
        <v>94.809545161052114</v>
      </c>
      <c r="I646" s="195">
        <f t="shared" si="75"/>
        <v>105.11761373711106</v>
      </c>
      <c r="J646" s="19">
        <v>143151123.87</v>
      </c>
    </row>
    <row r="647" spans="1:10" s="21" customFormat="1" x14ac:dyDescent="0.2">
      <c r="A647" s="382">
        <v>3341</v>
      </c>
      <c r="B647" s="383" t="s">
        <v>756</v>
      </c>
      <c r="C647" s="106">
        <v>2601000</v>
      </c>
      <c r="D647" s="106">
        <v>2601000</v>
      </c>
      <c r="E647" s="106">
        <v>2566392</v>
      </c>
      <c r="F647" s="47"/>
      <c r="G647" s="106">
        <f t="shared" si="73"/>
        <v>98.669434832756636</v>
      </c>
      <c r="H647" s="106">
        <f t="shared" si="74"/>
        <v>98.669434832756636</v>
      </c>
      <c r="I647" s="106">
        <f t="shared" si="75"/>
        <v>131.32221682663254</v>
      </c>
      <c r="J647" s="34">
        <v>1954271</v>
      </c>
    </row>
    <row r="648" spans="1:10" s="21" customFormat="1" x14ac:dyDescent="0.2">
      <c r="A648" s="384">
        <v>3349</v>
      </c>
      <c r="B648" s="385" t="s">
        <v>757</v>
      </c>
      <c r="C648" s="106">
        <v>0</v>
      </c>
      <c r="D648" s="106">
        <v>30000</v>
      </c>
      <c r="E648" s="106">
        <v>30000</v>
      </c>
      <c r="F648" s="47"/>
      <c r="G648" s="106">
        <v>0</v>
      </c>
      <c r="H648" s="106">
        <f t="shared" si="74"/>
        <v>100</v>
      </c>
      <c r="I648" s="106">
        <v>0</v>
      </c>
      <c r="J648" s="34">
        <v>0</v>
      </c>
    </row>
    <row r="649" spans="1:10" s="21" customFormat="1" ht="36.75" x14ac:dyDescent="0.2">
      <c r="A649" s="97">
        <v>6112</v>
      </c>
      <c r="B649" s="187" t="s">
        <v>758</v>
      </c>
      <c r="C649" s="106">
        <v>11384500</v>
      </c>
      <c r="D649" s="106">
        <f>11384500-600000+(-400000-99200-36000)</f>
        <v>10249300</v>
      </c>
      <c r="E649" s="114">
        <v>8355922.5999999996</v>
      </c>
      <c r="F649" s="70"/>
      <c r="G649" s="106">
        <f t="shared" si="73"/>
        <v>73.397361324608013</v>
      </c>
      <c r="H649" s="106">
        <f t="shared" si="74"/>
        <v>81.526763778989789</v>
      </c>
      <c r="I649" s="106">
        <f t="shared" si="75"/>
        <v>103.06674003270882</v>
      </c>
      <c r="J649" s="19">
        <v>8107293</v>
      </c>
    </row>
    <row r="650" spans="1:10" x14ac:dyDescent="0.2">
      <c r="A650" s="97">
        <v>6171</v>
      </c>
      <c r="B650" s="183" t="s">
        <v>744</v>
      </c>
      <c r="C650" s="106">
        <f>SUM(C651:C653)</f>
        <v>140785980</v>
      </c>
      <c r="D650" s="106">
        <f>SUM(D651:D653)</f>
        <v>139934780</v>
      </c>
      <c r="E650" s="114">
        <v>133624730.84999999</v>
      </c>
      <c r="F650" s="70">
        <f>SUM(E651:E653)</f>
        <v>133624730.84999999</v>
      </c>
      <c r="G650" s="106">
        <f t="shared" si="73"/>
        <v>94.913379052374395</v>
      </c>
      <c r="H650" s="106">
        <f t="shared" si="74"/>
        <v>95.490721356048866</v>
      </c>
      <c r="I650" s="106">
        <f t="shared" si="75"/>
        <v>105.05951194939063</v>
      </c>
      <c r="J650" s="34">
        <v>127189559.87</v>
      </c>
    </row>
    <row r="651" spans="1:10" ht="45.75" customHeight="1" x14ac:dyDescent="0.2">
      <c r="A651" s="97"/>
      <c r="B651" s="374" t="s">
        <v>759</v>
      </c>
      <c r="C651" s="70">
        <v>123528120</v>
      </c>
      <c r="D651" s="70">
        <f>123528120+(-3000000-744000-270000)+60000+(855410+212140+76988)+2251200</f>
        <v>122969858</v>
      </c>
      <c r="E651" s="70">
        <v>119139658</v>
      </c>
      <c r="F651" s="261"/>
      <c r="G651" s="70">
        <f t="shared" si="73"/>
        <v>96.447398373746807</v>
      </c>
      <c r="H651" s="70">
        <f t="shared" si="74"/>
        <v>96.885252969878195</v>
      </c>
      <c r="I651" s="70">
        <f t="shared" si="75"/>
        <v>106.3621757008177</v>
      </c>
      <c r="J651" s="19">
        <v>112013182.52</v>
      </c>
    </row>
    <row r="652" spans="1:10" ht="15.75" x14ac:dyDescent="0.25">
      <c r="A652" s="386"/>
      <c r="B652" s="263" t="s">
        <v>760</v>
      </c>
      <c r="C652" s="47">
        <v>8382600</v>
      </c>
      <c r="D652" s="47">
        <f>8382600+(-201000-49848-18090)-24000</f>
        <v>8089662</v>
      </c>
      <c r="E652" s="141">
        <v>7695637</v>
      </c>
      <c r="F652" s="141"/>
      <c r="G652" s="47">
        <f t="shared" si="73"/>
        <v>91.804893469806501</v>
      </c>
      <c r="H652" s="47">
        <f t="shared" si="74"/>
        <v>95.129277341871642</v>
      </c>
      <c r="I652" s="47">
        <f t="shared" si="75"/>
        <v>114.52750466460786</v>
      </c>
      <c r="J652" s="19">
        <v>6719466.2300000004</v>
      </c>
    </row>
    <row r="653" spans="1:10" ht="48.75" x14ac:dyDescent="0.25">
      <c r="A653" s="386"/>
      <c r="B653" s="187" t="s">
        <v>761</v>
      </c>
      <c r="C653" s="47">
        <v>8875260</v>
      </c>
      <c r="D653" s="47">
        <v>8875260</v>
      </c>
      <c r="E653" s="70">
        <v>6789435.8499999996</v>
      </c>
      <c r="F653" s="70"/>
      <c r="G653" s="47">
        <f t="shared" si="73"/>
        <v>76.498444552610295</v>
      </c>
      <c r="H653" s="47">
        <f t="shared" si="74"/>
        <v>76.498444552610295</v>
      </c>
      <c r="I653" s="47">
        <f t="shared" si="75"/>
        <v>88.579772778570003</v>
      </c>
      <c r="J653" s="19">
        <v>7664770</v>
      </c>
    </row>
    <row r="654" spans="1:10" x14ac:dyDescent="0.2">
      <c r="A654" s="97">
        <v>6330</v>
      </c>
      <c r="B654" s="183" t="s">
        <v>762</v>
      </c>
      <c r="C654" s="114">
        <v>5900000</v>
      </c>
      <c r="D654" s="114">
        <v>5900000</v>
      </c>
      <c r="E654" s="103">
        <v>5900000</v>
      </c>
      <c r="F654" s="103"/>
      <c r="G654" s="106">
        <f t="shared" si="73"/>
        <v>100</v>
      </c>
      <c r="H654" s="106">
        <f t="shared" si="74"/>
        <v>100</v>
      </c>
      <c r="I654" s="106">
        <f t="shared" si="75"/>
        <v>100</v>
      </c>
      <c r="J654" s="19">
        <v>5900000</v>
      </c>
    </row>
    <row r="655" spans="1:10" ht="13.5" thickBot="1" x14ac:dyDescent="0.25">
      <c r="A655" s="387"/>
      <c r="B655" s="388"/>
      <c r="C655" s="126"/>
      <c r="D655" s="126"/>
      <c r="E655" s="125"/>
      <c r="F655" s="125"/>
      <c r="G655" s="160"/>
      <c r="H655" s="160"/>
      <c r="I655" s="160"/>
      <c r="J655" s="19"/>
    </row>
    <row r="656" spans="1:10" ht="21" thickBot="1" x14ac:dyDescent="0.35">
      <c r="A656" s="295"/>
      <c r="B656" s="82" t="s">
        <v>34</v>
      </c>
      <c r="C656" s="389">
        <f>C657+C682</f>
        <v>14300260</v>
      </c>
      <c r="D656" s="389">
        <f>D657+D682</f>
        <v>15372744</v>
      </c>
      <c r="E656" s="195">
        <f>12616330.78-113714</f>
        <v>12502616.779999999</v>
      </c>
      <c r="F656" s="196">
        <f>SUM(E657,E682)</f>
        <v>12502616.779999999</v>
      </c>
      <c r="G656" s="195">
        <f t="shared" si="73"/>
        <v>87.429296949845664</v>
      </c>
      <c r="H656" s="195">
        <f t="shared" si="74"/>
        <v>81.329766370922457</v>
      </c>
      <c r="I656" s="195">
        <f t="shared" si="75"/>
        <v>126.71014769016465</v>
      </c>
      <c r="J656" s="19">
        <v>9867099.8399999999</v>
      </c>
    </row>
    <row r="657" spans="1:10" ht="16.5" thickBot="1" x14ac:dyDescent="0.3">
      <c r="A657" s="295"/>
      <c r="B657" s="86" t="s">
        <v>763</v>
      </c>
      <c r="C657" s="201">
        <f t="shared" ref="C657:D657" si="78">C658+C659+C660+C661+C664+C666+C668+C670+C672+C674+C681</f>
        <v>3268320</v>
      </c>
      <c r="D657" s="201">
        <f t="shared" si="78"/>
        <v>1198320</v>
      </c>
      <c r="E657" s="128">
        <v>839876.78</v>
      </c>
      <c r="F657" s="196">
        <f>SUM(E658:E661,E664,E666,E668,E670,E672,E674,E681)</f>
        <v>839876.77999999991</v>
      </c>
      <c r="G657" s="128">
        <f t="shared" si="73"/>
        <v>25.697507587996281</v>
      </c>
      <c r="H657" s="128">
        <f t="shared" si="74"/>
        <v>70.087854663195131</v>
      </c>
      <c r="I657" s="128">
        <f t="shared" si="75"/>
        <v>32.445966912373272</v>
      </c>
      <c r="J657" s="19">
        <v>2588539.84</v>
      </c>
    </row>
    <row r="658" spans="1:10" x14ac:dyDescent="0.2">
      <c r="A658" s="97">
        <v>2293</v>
      </c>
      <c r="B658" s="98" t="s">
        <v>764</v>
      </c>
      <c r="C658" s="106">
        <v>0</v>
      </c>
      <c r="D658" s="106">
        <v>60500</v>
      </c>
      <c r="E658" s="106">
        <v>60500</v>
      </c>
      <c r="F658" s="47"/>
      <c r="G658" s="106">
        <v>0</v>
      </c>
      <c r="H658" s="106">
        <f t="shared" si="74"/>
        <v>100</v>
      </c>
      <c r="I658" s="106">
        <f t="shared" si="75"/>
        <v>8.3333333333333321</v>
      </c>
      <c r="J658" s="34">
        <v>726000</v>
      </c>
    </row>
    <row r="659" spans="1:10" x14ac:dyDescent="0.2">
      <c r="A659" s="97">
        <v>3613</v>
      </c>
      <c r="B659" s="98" t="s">
        <v>765</v>
      </c>
      <c r="C659" s="106">
        <v>3000</v>
      </c>
      <c r="D659" s="106">
        <v>3000</v>
      </c>
      <c r="E659" s="124">
        <v>0</v>
      </c>
      <c r="F659" s="125"/>
      <c r="G659" s="106">
        <f t="shared" si="73"/>
        <v>0</v>
      </c>
      <c r="H659" s="106">
        <f t="shared" si="74"/>
        <v>0</v>
      </c>
      <c r="I659" s="106">
        <v>0</v>
      </c>
      <c r="J659" s="34">
        <v>0</v>
      </c>
    </row>
    <row r="660" spans="1:10" s="76" customFormat="1" ht="15.75" x14ac:dyDescent="0.25">
      <c r="A660" s="97">
        <v>3632</v>
      </c>
      <c r="B660" s="98" t="s">
        <v>766</v>
      </c>
      <c r="C660" s="106">
        <v>130000</v>
      </c>
      <c r="D660" s="106">
        <f>130000+70000</f>
        <v>200000</v>
      </c>
      <c r="E660" s="103">
        <v>154266.6</v>
      </c>
      <c r="F660" s="104"/>
      <c r="G660" s="106">
        <f t="shared" si="73"/>
        <v>118.66661538461538</v>
      </c>
      <c r="H660" s="106">
        <f t="shared" si="74"/>
        <v>77.133300000000006</v>
      </c>
      <c r="I660" s="106">
        <f t="shared" si="75"/>
        <v>170.45114031420184</v>
      </c>
      <c r="J660" s="34">
        <v>90504.88</v>
      </c>
    </row>
    <row r="661" spans="1:10" s="76" customFormat="1" ht="12.75" customHeight="1" x14ac:dyDescent="0.25">
      <c r="A661" s="97">
        <v>4329</v>
      </c>
      <c r="B661" s="98" t="s">
        <v>767</v>
      </c>
      <c r="C661" s="114">
        <f t="shared" ref="C661:D661" si="79">SUM(C662:C663)</f>
        <v>275000</v>
      </c>
      <c r="D661" s="114">
        <f t="shared" si="79"/>
        <v>275000</v>
      </c>
      <c r="E661" s="114">
        <v>221473</v>
      </c>
      <c r="F661" s="70"/>
      <c r="G661" s="106">
        <f t="shared" si="73"/>
        <v>80.535636363636371</v>
      </c>
      <c r="H661" s="106">
        <f t="shared" si="74"/>
        <v>80.535636363636371</v>
      </c>
      <c r="I661" s="106">
        <f t="shared" si="75"/>
        <v>107.2674700195672</v>
      </c>
      <c r="J661" s="34">
        <v>206468</v>
      </c>
    </row>
    <row r="662" spans="1:10" s="21" customFormat="1" x14ac:dyDescent="0.2">
      <c r="A662" s="97"/>
      <c r="B662" s="152" t="s">
        <v>768</v>
      </c>
      <c r="C662" s="47">
        <v>5000</v>
      </c>
      <c r="D662" s="47">
        <f>5000+3000+3000</f>
        <v>11000</v>
      </c>
      <c r="E662" s="390">
        <v>10673</v>
      </c>
      <c r="F662" s="390"/>
      <c r="G662" s="47">
        <f t="shared" si="73"/>
        <v>213.45999999999998</v>
      </c>
      <c r="H662" s="47">
        <f t="shared" si="74"/>
        <v>97.027272727272731</v>
      </c>
      <c r="I662" s="47">
        <f t="shared" si="75"/>
        <v>290.97600872410032</v>
      </c>
      <c r="J662" s="34">
        <v>3668</v>
      </c>
    </row>
    <row r="663" spans="1:10" s="21" customFormat="1" x14ac:dyDescent="0.2">
      <c r="A663" s="97"/>
      <c r="B663" s="152" t="s">
        <v>769</v>
      </c>
      <c r="C663" s="47">
        <v>270000</v>
      </c>
      <c r="D663" s="47">
        <f>270000-3000-3000</f>
        <v>264000</v>
      </c>
      <c r="E663" s="47">
        <v>210800</v>
      </c>
      <c r="F663" s="47"/>
      <c r="G663" s="47">
        <f t="shared" si="73"/>
        <v>78.074074074074076</v>
      </c>
      <c r="H663" s="47">
        <f t="shared" si="74"/>
        <v>79.848484848484844</v>
      </c>
      <c r="I663" s="47">
        <f t="shared" si="75"/>
        <v>103.94477317554241</v>
      </c>
      <c r="J663" s="34">
        <v>202800</v>
      </c>
    </row>
    <row r="664" spans="1:10" s="21" customFormat="1" x14ac:dyDescent="0.2">
      <c r="A664" s="97">
        <v>4344</v>
      </c>
      <c r="B664" s="98" t="s">
        <v>770</v>
      </c>
      <c r="C664" s="114">
        <f t="shared" ref="C664:D672" si="80">SUM(C665:C665)</f>
        <v>298000</v>
      </c>
      <c r="D664" s="114">
        <f t="shared" si="80"/>
        <v>0</v>
      </c>
      <c r="E664" s="114">
        <v>0</v>
      </c>
      <c r="F664" s="70"/>
      <c r="G664" s="106">
        <f t="shared" si="73"/>
        <v>0</v>
      </c>
      <c r="H664" s="106">
        <v>0</v>
      </c>
      <c r="I664" s="106">
        <f t="shared" si="75"/>
        <v>0</v>
      </c>
      <c r="J664" s="34">
        <v>293500</v>
      </c>
    </row>
    <row r="665" spans="1:10" s="21" customFormat="1" x14ac:dyDescent="0.2">
      <c r="A665" s="112"/>
      <c r="B665" s="98" t="s">
        <v>771</v>
      </c>
      <c r="C665" s="47">
        <v>298000</v>
      </c>
      <c r="D665" s="47">
        <f>298000-298000</f>
        <v>0</v>
      </c>
      <c r="E665" s="70">
        <v>0</v>
      </c>
      <c r="F665" s="70"/>
      <c r="G665" s="47">
        <f t="shared" si="73"/>
        <v>0</v>
      </c>
      <c r="H665" s="47">
        <v>0</v>
      </c>
      <c r="I665" s="47">
        <f t="shared" si="75"/>
        <v>0</v>
      </c>
      <c r="J665" s="34">
        <v>293500</v>
      </c>
    </row>
    <row r="666" spans="1:10" x14ac:dyDescent="0.2">
      <c r="A666" s="97">
        <v>4349</v>
      </c>
      <c r="B666" s="98" t="s">
        <v>772</v>
      </c>
      <c r="C666" s="114">
        <f t="shared" si="80"/>
        <v>250000</v>
      </c>
      <c r="D666" s="114">
        <f t="shared" si="80"/>
        <v>189500</v>
      </c>
      <c r="E666" s="114">
        <v>185314.8</v>
      </c>
      <c r="F666" s="114"/>
      <c r="G666" s="106">
        <f t="shared" si="73"/>
        <v>74.125920000000008</v>
      </c>
      <c r="H666" s="106">
        <f t="shared" si="74"/>
        <v>97.791451187335085</v>
      </c>
      <c r="I666" s="106">
        <f t="shared" si="75"/>
        <v>2724.0158753491105</v>
      </c>
      <c r="J666" s="34">
        <v>6803</v>
      </c>
    </row>
    <row r="667" spans="1:10" x14ac:dyDescent="0.2">
      <c r="A667" s="112"/>
      <c r="B667" s="111" t="s">
        <v>773</v>
      </c>
      <c r="C667" s="47">
        <v>250000</v>
      </c>
      <c r="D667" s="47">
        <f>250000-60500</f>
        <v>189500</v>
      </c>
      <c r="E667" s="70">
        <v>185314.8</v>
      </c>
      <c r="F667" s="70"/>
      <c r="G667" s="47">
        <f t="shared" si="73"/>
        <v>74.125920000000008</v>
      </c>
      <c r="H667" s="47">
        <f t="shared" si="74"/>
        <v>97.791451187335085</v>
      </c>
      <c r="I667" s="47">
        <f t="shared" si="75"/>
        <v>2724.0158753491105</v>
      </c>
      <c r="J667" s="34">
        <v>6803</v>
      </c>
    </row>
    <row r="668" spans="1:10" x14ac:dyDescent="0.2">
      <c r="A668" s="97">
        <v>4351</v>
      </c>
      <c r="B668" s="98" t="s">
        <v>774</v>
      </c>
      <c r="C668" s="114">
        <f t="shared" si="80"/>
        <v>70000</v>
      </c>
      <c r="D668" s="114">
        <f t="shared" si="80"/>
        <v>0</v>
      </c>
      <c r="E668" s="114">
        <v>0</v>
      </c>
      <c r="F668" s="70"/>
      <c r="G668" s="106">
        <f t="shared" si="73"/>
        <v>0</v>
      </c>
      <c r="H668" s="106">
        <v>0</v>
      </c>
      <c r="I668" s="106">
        <f t="shared" si="75"/>
        <v>0</v>
      </c>
      <c r="J668" s="34">
        <v>35000</v>
      </c>
    </row>
    <row r="669" spans="1:10" s="21" customFormat="1" x14ac:dyDescent="0.2">
      <c r="A669" s="112"/>
      <c r="B669" s="152" t="s">
        <v>775</v>
      </c>
      <c r="C669" s="47">
        <v>70000</v>
      </c>
      <c r="D669" s="47">
        <f>70000-70000</f>
        <v>0</v>
      </c>
      <c r="E669" s="70">
        <v>0</v>
      </c>
      <c r="F669" s="70"/>
      <c r="G669" s="47">
        <f t="shared" si="73"/>
        <v>0</v>
      </c>
      <c r="H669" s="47">
        <v>0</v>
      </c>
      <c r="I669" s="47">
        <f t="shared" si="75"/>
        <v>0</v>
      </c>
      <c r="J669" s="34">
        <v>35000</v>
      </c>
    </row>
    <row r="670" spans="1:10" x14ac:dyDescent="0.2">
      <c r="A670" s="97">
        <v>4371</v>
      </c>
      <c r="B670" s="98" t="s">
        <v>776</v>
      </c>
      <c r="C670" s="114">
        <f t="shared" si="80"/>
        <v>480000</v>
      </c>
      <c r="D670" s="114">
        <f t="shared" si="80"/>
        <v>0</v>
      </c>
      <c r="E670" s="124">
        <v>0</v>
      </c>
      <c r="F670" s="125"/>
      <c r="G670" s="106">
        <f t="shared" si="73"/>
        <v>0</v>
      </c>
      <c r="H670" s="106">
        <v>0</v>
      </c>
      <c r="I670" s="106">
        <f t="shared" si="75"/>
        <v>0</v>
      </c>
      <c r="J670" s="34">
        <v>233000</v>
      </c>
    </row>
    <row r="671" spans="1:10" x14ac:dyDescent="0.2">
      <c r="A671" s="112"/>
      <c r="B671" s="152" t="s">
        <v>775</v>
      </c>
      <c r="C671" s="47">
        <v>480000</v>
      </c>
      <c r="D671" s="47">
        <f>480000-480000</f>
        <v>0</v>
      </c>
      <c r="E671" s="125">
        <v>0</v>
      </c>
      <c r="F671" s="125"/>
      <c r="G671" s="47">
        <f t="shared" si="73"/>
        <v>0</v>
      </c>
      <c r="H671" s="47">
        <v>0</v>
      </c>
      <c r="I671" s="47">
        <f t="shared" si="75"/>
        <v>0</v>
      </c>
      <c r="J671" s="34">
        <v>233000</v>
      </c>
    </row>
    <row r="672" spans="1:10" s="21" customFormat="1" x14ac:dyDescent="0.2">
      <c r="A672" s="97">
        <v>4374</v>
      </c>
      <c r="B672" s="391" t="s">
        <v>777</v>
      </c>
      <c r="C672" s="114">
        <f t="shared" si="80"/>
        <v>1249000</v>
      </c>
      <c r="D672" s="114">
        <f t="shared" si="80"/>
        <v>0</v>
      </c>
      <c r="E672" s="103">
        <v>0</v>
      </c>
      <c r="F672" s="70"/>
      <c r="G672" s="106">
        <f t="shared" si="73"/>
        <v>0</v>
      </c>
      <c r="H672" s="106">
        <v>0</v>
      </c>
      <c r="I672" s="106">
        <f t="shared" si="75"/>
        <v>0</v>
      </c>
      <c r="J672" s="34">
        <v>822000</v>
      </c>
    </row>
    <row r="673" spans="1:10" x14ac:dyDescent="0.2">
      <c r="A673" s="112"/>
      <c r="B673" s="152" t="s">
        <v>775</v>
      </c>
      <c r="C673" s="47">
        <v>1249000</v>
      </c>
      <c r="D673" s="47">
        <f>1249000-1249000</f>
        <v>0</v>
      </c>
      <c r="E673" s="141">
        <v>0</v>
      </c>
      <c r="F673" s="141"/>
      <c r="G673" s="47">
        <f t="shared" si="73"/>
        <v>0</v>
      </c>
      <c r="H673" s="47">
        <v>0</v>
      </c>
      <c r="I673" s="47">
        <f t="shared" si="75"/>
        <v>0</v>
      </c>
      <c r="J673" s="34">
        <v>822000</v>
      </c>
    </row>
    <row r="674" spans="1:10" s="21" customFormat="1" x14ac:dyDescent="0.2">
      <c r="A674" s="97">
        <v>4379</v>
      </c>
      <c r="B674" s="98" t="s">
        <v>778</v>
      </c>
      <c r="C674" s="114">
        <f>SUM(C675:C680)</f>
        <v>502000</v>
      </c>
      <c r="D674" s="114">
        <f>SUM(D675:D680)</f>
        <v>459000</v>
      </c>
      <c r="E674" s="106">
        <v>213374.38</v>
      </c>
      <c r="F674" s="47"/>
      <c r="G674" s="106">
        <f t="shared" si="73"/>
        <v>42.504856573705183</v>
      </c>
      <c r="H674" s="106">
        <f t="shared" si="74"/>
        <v>46.486793028322445</v>
      </c>
      <c r="I674" s="106">
        <f t="shared" si="75"/>
        <v>127.32572943160613</v>
      </c>
      <c r="J674" s="19">
        <v>167581.51</v>
      </c>
    </row>
    <row r="675" spans="1:10" x14ac:dyDescent="0.2">
      <c r="A675" s="112"/>
      <c r="B675" s="111" t="s">
        <v>779</v>
      </c>
      <c r="C675" s="47">
        <v>243000</v>
      </c>
      <c r="D675" s="47">
        <f>243000</f>
        <v>243000</v>
      </c>
      <c r="E675" s="70">
        <v>130186.25</v>
      </c>
      <c r="F675" s="70"/>
      <c r="G675" s="47">
        <f t="shared" si="73"/>
        <v>53.574588477366255</v>
      </c>
      <c r="H675" s="47">
        <f t="shared" si="74"/>
        <v>53.574588477366255</v>
      </c>
      <c r="I675" s="47">
        <f t="shared" si="75"/>
        <v>131.15083818468068</v>
      </c>
      <c r="J675" s="328">
        <v>99264.52</v>
      </c>
    </row>
    <row r="676" spans="1:10" s="392" customFormat="1" x14ac:dyDescent="0.2">
      <c r="A676" s="112"/>
      <c r="B676" s="111" t="s">
        <v>780</v>
      </c>
      <c r="C676" s="47">
        <v>59000</v>
      </c>
      <c r="D676" s="47">
        <v>59000</v>
      </c>
      <c r="E676" s="47">
        <v>51378</v>
      </c>
      <c r="F676" s="47"/>
      <c r="G676" s="47">
        <f t="shared" si="73"/>
        <v>87.08135593220338</v>
      </c>
      <c r="H676" s="47">
        <f t="shared" si="74"/>
        <v>87.08135593220338</v>
      </c>
      <c r="I676" s="47">
        <f t="shared" si="75"/>
        <v>139.35352419741125</v>
      </c>
      <c r="J676" s="19">
        <v>36868.82</v>
      </c>
    </row>
    <row r="677" spans="1:10" x14ac:dyDescent="0.2">
      <c r="A677" s="112"/>
      <c r="B677" s="111" t="s">
        <v>781</v>
      </c>
      <c r="C677" s="47">
        <v>47000</v>
      </c>
      <c r="D677" s="47">
        <f>47000</f>
        <v>47000</v>
      </c>
      <c r="E677" s="70">
        <v>22404.13</v>
      </c>
      <c r="F677" s="70"/>
      <c r="G677" s="47">
        <f t="shared" si="73"/>
        <v>47.668361702127662</v>
      </c>
      <c r="H677" s="47">
        <f t="shared" si="74"/>
        <v>47.668361702127662</v>
      </c>
      <c r="I677" s="47">
        <f t="shared" si="75"/>
        <v>71.241442665821268</v>
      </c>
      <c r="J677" s="34">
        <v>31448.17</v>
      </c>
    </row>
    <row r="678" spans="1:10" s="21" customFormat="1" x14ac:dyDescent="0.2">
      <c r="A678" s="112"/>
      <c r="B678" s="111" t="s">
        <v>782</v>
      </c>
      <c r="C678" s="47">
        <v>10000</v>
      </c>
      <c r="D678" s="47">
        <v>10000</v>
      </c>
      <c r="E678" s="70">
        <v>9406</v>
      </c>
      <c r="F678" s="70"/>
      <c r="G678" s="47">
        <f t="shared" si="73"/>
        <v>94.06</v>
      </c>
      <c r="H678" s="47">
        <f t="shared" si="74"/>
        <v>94.06</v>
      </c>
      <c r="I678" s="47">
        <v>0</v>
      </c>
      <c r="J678" s="34">
        <v>0</v>
      </c>
    </row>
    <row r="679" spans="1:10" s="21" customFormat="1" x14ac:dyDescent="0.2">
      <c r="A679" s="112"/>
      <c r="B679" s="111" t="s">
        <v>783</v>
      </c>
      <c r="C679" s="47">
        <v>43000</v>
      </c>
      <c r="D679" s="47">
        <f>43000-43000</f>
        <v>0</v>
      </c>
      <c r="E679" s="70">
        <v>0</v>
      </c>
      <c r="F679" s="70"/>
      <c r="G679" s="47">
        <f t="shared" si="73"/>
        <v>0</v>
      </c>
      <c r="H679" s="47">
        <v>0</v>
      </c>
      <c r="I679" s="47">
        <v>0</v>
      </c>
      <c r="J679" s="34">
        <v>0</v>
      </c>
    </row>
    <row r="680" spans="1:10" s="21" customFormat="1" x14ac:dyDescent="0.2">
      <c r="A680" s="112"/>
      <c r="B680" s="111" t="s">
        <v>784</v>
      </c>
      <c r="C680" s="47">
        <v>100000</v>
      </c>
      <c r="D680" s="47">
        <v>100000</v>
      </c>
      <c r="E680" s="70">
        <v>0</v>
      </c>
      <c r="F680" s="70"/>
      <c r="G680" s="47">
        <f t="shared" ref="G680:G742" si="81">E680/C680*100</f>
        <v>0</v>
      </c>
      <c r="H680" s="47">
        <f t="shared" ref="H680:H742" si="82">E680/D680*100</f>
        <v>0</v>
      </c>
      <c r="I680" s="47">
        <v>0</v>
      </c>
      <c r="J680" s="19">
        <v>0</v>
      </c>
    </row>
    <row r="681" spans="1:10" ht="13.5" thickBot="1" x14ac:dyDescent="0.25">
      <c r="A681" s="97">
        <v>4399</v>
      </c>
      <c r="B681" s="98" t="s">
        <v>785</v>
      </c>
      <c r="C681" s="106">
        <f>13000-1680</f>
        <v>11320</v>
      </c>
      <c r="D681" s="106">
        <f>13000-1680</f>
        <v>11320</v>
      </c>
      <c r="E681" s="126">
        <v>4948</v>
      </c>
      <c r="F681" s="160"/>
      <c r="G681" s="106">
        <f t="shared" si="81"/>
        <v>43.710247349823319</v>
      </c>
      <c r="H681" s="106">
        <f t="shared" si="82"/>
        <v>43.710247349823319</v>
      </c>
      <c r="I681" s="106">
        <f t="shared" ref="I681:I737" si="83">E681/J681*100</f>
        <v>64.406536977136199</v>
      </c>
      <c r="J681" s="34">
        <v>7682.45</v>
      </c>
    </row>
    <row r="682" spans="1:10" ht="16.5" thickBot="1" x14ac:dyDescent="0.3">
      <c r="A682" s="295"/>
      <c r="B682" s="86" t="s">
        <v>786</v>
      </c>
      <c r="C682" s="127">
        <f t="shared" ref="C682:D682" si="84">C683</f>
        <v>11031940</v>
      </c>
      <c r="D682" s="127">
        <f t="shared" si="84"/>
        <v>14174424</v>
      </c>
      <c r="E682" s="128">
        <f>11776454-113714</f>
        <v>11662740</v>
      </c>
      <c r="F682" s="128"/>
      <c r="G682" s="128">
        <f t="shared" si="81"/>
        <v>105.71794262840444</v>
      </c>
      <c r="H682" s="128">
        <f t="shared" si="82"/>
        <v>82.280168844956236</v>
      </c>
      <c r="I682" s="128">
        <f t="shared" si="83"/>
        <v>160.23416719790728</v>
      </c>
      <c r="J682" s="34">
        <v>7278560</v>
      </c>
    </row>
    <row r="683" spans="1:10" x14ac:dyDescent="0.2">
      <c r="A683" s="393"/>
      <c r="B683" s="93" t="s">
        <v>787</v>
      </c>
      <c r="C683" s="114">
        <f>SUM(C684:C695)</f>
        <v>11031940</v>
      </c>
      <c r="D683" s="114">
        <f>SUM(D684:D695)</f>
        <v>14174424</v>
      </c>
      <c r="E683" s="106">
        <v>11662740</v>
      </c>
      <c r="F683" s="47">
        <f>SUM(E684:E695)</f>
        <v>11662740</v>
      </c>
      <c r="G683" s="106">
        <f t="shared" si="81"/>
        <v>105.71794262840444</v>
      </c>
      <c r="H683" s="106">
        <f t="shared" si="82"/>
        <v>82.280168844956236</v>
      </c>
      <c r="I683" s="106">
        <f t="shared" si="83"/>
        <v>160.23416719790728</v>
      </c>
      <c r="J683" s="34">
        <v>7278560</v>
      </c>
    </row>
    <row r="684" spans="1:10" s="21" customFormat="1" x14ac:dyDescent="0.2">
      <c r="A684" s="393"/>
      <c r="B684" s="111" t="s">
        <v>788</v>
      </c>
      <c r="C684" s="47">
        <f>150000+40000</f>
        <v>190000</v>
      </c>
      <c r="D684" s="47">
        <f>150000+40000</f>
        <v>190000</v>
      </c>
      <c r="E684" s="70">
        <v>190000</v>
      </c>
      <c r="F684" s="70"/>
      <c r="G684" s="47">
        <f t="shared" si="81"/>
        <v>100</v>
      </c>
      <c r="H684" s="47">
        <f t="shared" si="82"/>
        <v>100</v>
      </c>
      <c r="I684" s="47">
        <f t="shared" si="83"/>
        <v>154.97553017944534</v>
      </c>
      <c r="J684" s="34">
        <v>122600</v>
      </c>
    </row>
    <row r="685" spans="1:10" x14ac:dyDescent="0.2">
      <c r="A685" s="393"/>
      <c r="B685" s="111" t="s">
        <v>789</v>
      </c>
      <c r="C685" s="47">
        <v>150000</v>
      </c>
      <c r="D685" s="47">
        <v>150000</v>
      </c>
      <c r="E685" s="125">
        <v>150000</v>
      </c>
      <c r="F685" s="125"/>
      <c r="G685" s="47">
        <f t="shared" si="81"/>
        <v>100</v>
      </c>
      <c r="H685" s="47">
        <f t="shared" si="82"/>
        <v>100</v>
      </c>
      <c r="I685" s="47">
        <f t="shared" si="83"/>
        <v>152.5940996948118</v>
      </c>
      <c r="J685" s="19">
        <v>98300</v>
      </c>
    </row>
    <row r="686" spans="1:10" x14ac:dyDescent="0.2">
      <c r="A686" s="393"/>
      <c r="B686" s="111" t="s">
        <v>790</v>
      </c>
      <c r="C686" s="47">
        <f>6017394-79654</f>
        <v>5937740</v>
      </c>
      <c r="D686" s="47">
        <f>(6017394-79654)+229484</f>
        <v>6167224</v>
      </c>
      <c r="E686" s="70">
        <v>5937740</v>
      </c>
      <c r="F686" s="70"/>
      <c r="G686" s="47">
        <f t="shared" si="81"/>
        <v>100</v>
      </c>
      <c r="H686" s="47">
        <f t="shared" si="82"/>
        <v>96.278974138121143</v>
      </c>
      <c r="I686" s="47">
        <f t="shared" si="83"/>
        <v>111.99901916402595</v>
      </c>
      <c r="J686" s="34">
        <v>5301600</v>
      </c>
    </row>
    <row r="687" spans="1:10" x14ac:dyDescent="0.2">
      <c r="A687" s="393"/>
      <c r="B687" s="111" t="s">
        <v>791</v>
      </c>
      <c r="C687" s="47">
        <f>1032866+261334</f>
        <v>1294200</v>
      </c>
      <c r="D687" s="47">
        <f>1032866+261334</f>
        <v>1294200</v>
      </c>
      <c r="E687" s="47">
        <v>1294200</v>
      </c>
      <c r="F687" s="47"/>
      <c r="G687" s="47">
        <f t="shared" si="81"/>
        <v>100</v>
      </c>
      <c r="H687" s="47">
        <f t="shared" si="82"/>
        <v>100</v>
      </c>
      <c r="I687" s="47">
        <f t="shared" si="83"/>
        <v>107.05600132351725</v>
      </c>
      <c r="J687" s="34">
        <v>1208900</v>
      </c>
    </row>
    <row r="688" spans="1:10" x14ac:dyDescent="0.2">
      <c r="A688" s="393"/>
      <c r="B688" s="111" t="s">
        <v>792</v>
      </c>
      <c r="C688" s="47">
        <f>300000-180000</f>
        <v>120000</v>
      </c>
      <c r="D688" s="47">
        <f>(300000-180000)+180000-150000-15000-7000</f>
        <v>128000</v>
      </c>
      <c r="E688" s="70">
        <v>120000</v>
      </c>
      <c r="F688" s="70"/>
      <c r="G688" s="47">
        <f t="shared" si="81"/>
        <v>100</v>
      </c>
      <c r="H688" s="47">
        <f t="shared" si="82"/>
        <v>93.75</v>
      </c>
      <c r="I688" s="47">
        <f t="shared" si="83"/>
        <v>100</v>
      </c>
      <c r="J688" s="34">
        <v>120000</v>
      </c>
    </row>
    <row r="689" spans="1:10" x14ac:dyDescent="0.2">
      <c r="A689" s="393"/>
      <c r="B689" s="111" t="s">
        <v>793</v>
      </c>
      <c r="C689" s="47">
        <f>230000-40000</f>
        <v>190000</v>
      </c>
      <c r="D689" s="47">
        <f>230000-40000</f>
        <v>190000</v>
      </c>
      <c r="E689" s="70">
        <v>190000</v>
      </c>
      <c r="F689" s="70"/>
      <c r="G689" s="47">
        <f t="shared" si="81"/>
        <v>100</v>
      </c>
      <c r="H689" s="47">
        <f t="shared" si="82"/>
        <v>100</v>
      </c>
      <c r="I689" s="47">
        <f t="shared" si="83"/>
        <v>100</v>
      </c>
      <c r="J689" s="34">
        <v>190000</v>
      </c>
    </row>
    <row r="690" spans="1:10" x14ac:dyDescent="0.2">
      <c r="A690" s="393"/>
      <c r="B690" s="111" t="s">
        <v>794</v>
      </c>
      <c r="C690" s="47">
        <f>5000000-2000000</f>
        <v>3000000</v>
      </c>
      <c r="D690" s="47">
        <f>5000000-2000000</f>
        <v>3000000</v>
      </c>
      <c r="E690" s="70">
        <v>300000</v>
      </c>
      <c r="F690" s="70"/>
      <c r="G690" s="47">
        <f t="shared" si="81"/>
        <v>10</v>
      </c>
      <c r="H690" s="47">
        <f t="shared" si="82"/>
        <v>10</v>
      </c>
      <c r="I690" s="47">
        <v>0</v>
      </c>
      <c r="J690" s="34">
        <v>0</v>
      </c>
    </row>
    <row r="691" spans="1:10" x14ac:dyDescent="0.2">
      <c r="A691" s="97"/>
      <c r="B691" s="111" t="s">
        <v>795</v>
      </c>
      <c r="C691" s="47">
        <v>150000</v>
      </c>
      <c r="D691" s="47">
        <f>150000</f>
        <v>150000</v>
      </c>
      <c r="E691" s="70">
        <v>150000</v>
      </c>
      <c r="F691" s="70"/>
      <c r="G691" s="47">
        <f t="shared" si="81"/>
        <v>100</v>
      </c>
      <c r="H691" s="47">
        <f t="shared" si="82"/>
        <v>100</v>
      </c>
      <c r="I691" s="47">
        <f t="shared" si="83"/>
        <v>138.68343195266272</v>
      </c>
      <c r="J691" s="34">
        <v>108160</v>
      </c>
    </row>
    <row r="692" spans="1:10" x14ac:dyDescent="0.2">
      <c r="A692" s="97"/>
      <c r="B692" s="167" t="s">
        <v>796</v>
      </c>
      <c r="C692" s="47">
        <v>0</v>
      </c>
      <c r="D692" s="47">
        <f>150000+(5000+10000)+50000+7000-150000</f>
        <v>72000</v>
      </c>
      <c r="E692" s="70">
        <v>72000</v>
      </c>
      <c r="F692" s="70"/>
      <c r="G692" s="47">
        <v>0</v>
      </c>
      <c r="H692" s="47">
        <f t="shared" si="82"/>
        <v>100</v>
      </c>
      <c r="I692" s="47">
        <f t="shared" si="83"/>
        <v>55.813953488372093</v>
      </c>
      <c r="J692" s="34">
        <v>129000</v>
      </c>
    </row>
    <row r="693" spans="1:10" x14ac:dyDescent="0.2">
      <c r="A693" s="97"/>
      <c r="B693" s="167" t="s">
        <v>797</v>
      </c>
      <c r="C693" s="47">
        <v>0</v>
      </c>
      <c r="D693" s="47">
        <f>(298000+70000+480000+1249000)+(164400+395000+133600)</f>
        <v>2790000</v>
      </c>
      <c r="E693" s="70">
        <v>2656400</v>
      </c>
      <c r="F693" s="70"/>
      <c r="G693" s="47">
        <v>0</v>
      </c>
      <c r="H693" s="47">
        <f t="shared" si="82"/>
        <v>95.211469534050181</v>
      </c>
      <c r="I693" s="47">
        <v>0</v>
      </c>
      <c r="J693" s="34">
        <v>0</v>
      </c>
    </row>
    <row r="694" spans="1:10" x14ac:dyDescent="0.2">
      <c r="A694" s="97"/>
      <c r="B694" s="167" t="s">
        <v>798</v>
      </c>
      <c r="C694" s="47">
        <v>0</v>
      </c>
      <c r="D694" s="47">
        <v>43000</v>
      </c>
      <c r="E694" s="70">
        <v>43000</v>
      </c>
      <c r="F694" s="70"/>
      <c r="G694" s="47">
        <v>0</v>
      </c>
      <c r="H694" s="47">
        <f t="shared" si="82"/>
        <v>100</v>
      </c>
      <c r="I694" s="47">
        <v>0</v>
      </c>
      <c r="J694" s="34">
        <v>0</v>
      </c>
    </row>
    <row r="695" spans="1:10" x14ac:dyDescent="0.2">
      <c r="A695" s="97"/>
      <c r="B695" s="167" t="s">
        <v>799</v>
      </c>
      <c r="C695" s="47">
        <v>0</v>
      </c>
      <c r="D695" s="47">
        <v>0</v>
      </c>
      <c r="E695" s="70">
        <f>559400</f>
        <v>559400</v>
      </c>
      <c r="F695" s="70"/>
      <c r="G695" s="47">
        <v>0</v>
      </c>
      <c r="H695" s="47">
        <v>0</v>
      </c>
      <c r="I695" s="47">
        <v>0</v>
      </c>
      <c r="J695" s="34">
        <v>0</v>
      </c>
    </row>
    <row r="696" spans="1:10" ht="13.5" thickBot="1" x14ac:dyDescent="0.25">
      <c r="A696" s="372"/>
      <c r="B696" s="245"/>
      <c r="C696" s="160"/>
      <c r="D696" s="160"/>
      <c r="E696" s="125"/>
      <c r="F696" s="125"/>
      <c r="G696" s="160"/>
      <c r="H696" s="160"/>
      <c r="I696" s="160"/>
    </row>
    <row r="697" spans="1:10" ht="21" thickBot="1" x14ac:dyDescent="0.25">
      <c r="A697" s="372"/>
      <c r="B697" s="319" t="s">
        <v>35</v>
      </c>
      <c r="C697" s="195">
        <f t="shared" ref="C697:D697" si="85">C698</f>
        <v>17718500</v>
      </c>
      <c r="D697" s="195">
        <f t="shared" si="85"/>
        <v>16187808.300000001</v>
      </c>
      <c r="E697" s="195">
        <v>14726154.710000001</v>
      </c>
      <c r="F697" s="196">
        <f>SUM(E698)</f>
        <v>14726154.710000001</v>
      </c>
      <c r="G697" s="195">
        <f t="shared" si="81"/>
        <v>83.111745971724474</v>
      </c>
      <c r="H697" s="195">
        <f t="shared" si="82"/>
        <v>90.970651721888757</v>
      </c>
      <c r="I697" s="195">
        <f t="shared" si="83"/>
        <v>95.499185955812877</v>
      </c>
      <c r="J697" s="19">
        <v>15420188.73</v>
      </c>
    </row>
    <row r="698" spans="1:10" x14ac:dyDescent="0.2">
      <c r="A698" s="387">
        <v>4351</v>
      </c>
      <c r="B698" s="93" t="s">
        <v>800</v>
      </c>
      <c r="C698" s="394">
        <f>SUM(C699:C701)</f>
        <v>17718500</v>
      </c>
      <c r="D698" s="394">
        <f>SUM(D699:D701)</f>
        <v>16187808.300000001</v>
      </c>
      <c r="E698" s="106">
        <v>14726154.710000001</v>
      </c>
      <c r="F698" s="47">
        <f>SUM(E699:E701)</f>
        <v>14726154.709999999</v>
      </c>
      <c r="G698" s="106">
        <f t="shared" si="81"/>
        <v>83.111745971724474</v>
      </c>
      <c r="H698" s="106">
        <f t="shared" si="82"/>
        <v>90.970651721888757</v>
      </c>
      <c r="I698" s="106">
        <f t="shared" si="83"/>
        <v>95.499185955812877</v>
      </c>
      <c r="J698" s="34">
        <v>15420188.73</v>
      </c>
    </row>
    <row r="699" spans="1:10" ht="72.75" x14ac:dyDescent="0.2">
      <c r="A699" s="112"/>
      <c r="B699" s="395" t="s">
        <v>801</v>
      </c>
      <c r="C699" s="70">
        <f>(4385+765+60+50+1102.5+202+400+73.5+1+40+3+2+1.5+50+120+55+120+18+12+2+50+27+70+100+20+8+2.9+50+20+350+1900)*1000</f>
        <v>10060400</v>
      </c>
      <c r="D699" s="70">
        <f>((4385+765+60+50+1102.5+202+400+73.5+1+40+3+2+1.5+50+120+55+120+18+12+2+50+27+70+100+20+8+2.9+50+20+350+1900)*1000)+(-9000-121000-2000-11000-30000-1000)+(335000+84000+31000+48000+18000+2050000+20000+511000+185000)+5529-3070000+193000+(-2250000+3279.3)</f>
        <v>8050208.2999999998</v>
      </c>
      <c r="E699" s="160">
        <v>7457251.9199999999</v>
      </c>
      <c r="F699" s="160"/>
      <c r="G699" s="47">
        <f t="shared" si="81"/>
        <v>74.124805375531793</v>
      </c>
      <c r="H699" s="47">
        <f t="shared" si="82"/>
        <v>92.634272829934105</v>
      </c>
      <c r="I699" s="47">
        <f t="shared" si="83"/>
        <v>98.0919678458052</v>
      </c>
      <c r="J699" s="19">
        <v>7602306.3700000001</v>
      </c>
    </row>
    <row r="700" spans="1:10" ht="48.75" x14ac:dyDescent="0.2">
      <c r="A700" s="112"/>
      <c r="B700" s="395" t="s">
        <v>802</v>
      </c>
      <c r="C700" s="47">
        <f>(900+400+10+223.2+99.2+81+36+8+1.5+1+15+20+11+1+10+5+33+5+1+0.5+5+10)*1000</f>
        <v>1876400</v>
      </c>
      <c r="D700" s="47">
        <f>((900+400+10+223.2+99.2+81+36+8+1.5+1+15+20+11+1+10+5+33+5+1+0.5+5+10)*1000)+(-22000-6000-2000)+(112000+28000+10000+3000+3000+7000+4000+5000+3000+13000+385000+2000+130300+34700)-585000</f>
        <v>2001400</v>
      </c>
      <c r="E700" s="70">
        <v>1848345.44</v>
      </c>
      <c r="F700" s="70"/>
      <c r="G700" s="47">
        <f t="shared" si="81"/>
        <v>98.504873161372842</v>
      </c>
      <c r="H700" s="47">
        <f t="shared" si="82"/>
        <v>92.352625162386332</v>
      </c>
      <c r="I700" s="47">
        <f t="shared" si="83"/>
        <v>83.021389728805559</v>
      </c>
      <c r="J700" s="19">
        <v>2226348.4700000002</v>
      </c>
    </row>
    <row r="701" spans="1:10" ht="36.75" x14ac:dyDescent="0.2">
      <c r="A701" s="97"/>
      <c r="B701" s="395" t="s">
        <v>803</v>
      </c>
      <c r="C701" s="47">
        <f>(2900+900+300+793+223.2+288+81+20+5+45+60+14+1+18+15+50+7+1+0.5+50+10)*1000</f>
        <v>5781700</v>
      </c>
      <c r="D701" s="47">
        <f>((2900+900+300+793+223.2+288+81+20+5+45+60+14+1+18+15+50+7+1+0.5+50+10)*1000)+(-9000-2000-1000-89000-22000-7500)+(110000+26000+1000+20000+1106000+100000+277000+100000)-1550000+295000</f>
        <v>6136200</v>
      </c>
      <c r="E701" s="47">
        <v>5420557.3499999996</v>
      </c>
      <c r="F701" s="47"/>
      <c r="G701" s="47">
        <f t="shared" si="81"/>
        <v>93.753694415137417</v>
      </c>
      <c r="H701" s="47">
        <f t="shared" si="82"/>
        <v>88.337364329715456</v>
      </c>
      <c r="I701" s="47">
        <f t="shared" si="83"/>
        <v>96.942224738979448</v>
      </c>
      <c r="J701" s="19">
        <v>5591533.8899999997</v>
      </c>
    </row>
    <row r="702" spans="1:10" ht="13.5" thickBot="1" x14ac:dyDescent="0.25">
      <c r="A702" s="372"/>
      <c r="B702" s="396"/>
      <c r="C702" s="332"/>
      <c r="D702" s="332"/>
      <c r="E702" s="125"/>
      <c r="F702" s="125"/>
      <c r="G702" s="160"/>
      <c r="H702" s="160"/>
      <c r="I702" s="160"/>
      <c r="J702" s="19"/>
    </row>
    <row r="703" spans="1:10" ht="21" thickBot="1" x14ac:dyDescent="0.35">
      <c r="A703" s="295"/>
      <c r="B703" s="82" t="s">
        <v>36</v>
      </c>
      <c r="C703" s="195">
        <f>SUM(C704:C711,C715:C718,C723)</f>
        <v>76671300</v>
      </c>
      <c r="D703" s="195">
        <f>SUM(D704:D711,D715:D718,D723:D724)</f>
        <v>54183918.039999999</v>
      </c>
      <c r="E703" s="195">
        <v>52349759.829999998</v>
      </c>
      <c r="F703" s="196">
        <f>SUM(E704:E711,E715:E718,E723:E724)</f>
        <v>52349759.829999998</v>
      </c>
      <c r="G703" s="195">
        <f t="shared" si="81"/>
        <v>68.278169054131084</v>
      </c>
      <c r="H703" s="195">
        <f t="shared" si="82"/>
        <v>96.614939863437016</v>
      </c>
      <c r="I703" s="195">
        <f t="shared" si="83"/>
        <v>114.6786308109379</v>
      </c>
      <c r="J703" s="19">
        <v>45649097.359999999</v>
      </c>
    </row>
    <row r="704" spans="1:10" x14ac:dyDescent="0.2">
      <c r="A704" s="92">
        <v>1014</v>
      </c>
      <c r="B704" s="93" t="s">
        <v>804</v>
      </c>
      <c r="C704" s="106">
        <v>710000</v>
      </c>
      <c r="D704" s="106">
        <f>710000-12000-60000</f>
        <v>638000</v>
      </c>
      <c r="E704" s="106">
        <v>366821</v>
      </c>
      <c r="F704" s="106"/>
      <c r="G704" s="106">
        <f t="shared" si="81"/>
        <v>51.66492957746479</v>
      </c>
      <c r="H704" s="106">
        <f t="shared" si="82"/>
        <v>57.49545454545455</v>
      </c>
      <c r="I704" s="106">
        <f t="shared" si="83"/>
        <v>103.12245230719061</v>
      </c>
      <c r="J704" s="34">
        <v>355714</v>
      </c>
    </row>
    <row r="705" spans="1:10" x14ac:dyDescent="0.2">
      <c r="A705" s="97">
        <v>1031</v>
      </c>
      <c r="B705" s="98" t="s">
        <v>805</v>
      </c>
      <c r="C705" s="106">
        <v>430000</v>
      </c>
      <c r="D705" s="106">
        <f>430000+45000</f>
        <v>475000</v>
      </c>
      <c r="E705" s="106">
        <v>448365.27</v>
      </c>
      <c r="F705" s="106"/>
      <c r="G705" s="106">
        <f t="shared" si="81"/>
        <v>104.27099302325583</v>
      </c>
      <c r="H705" s="106">
        <f t="shared" si="82"/>
        <v>94.39268842105264</v>
      </c>
      <c r="I705" s="106">
        <f t="shared" si="83"/>
        <v>238.46093665818873</v>
      </c>
      <c r="J705" s="34">
        <v>188024.62</v>
      </c>
    </row>
    <row r="706" spans="1:10" x14ac:dyDescent="0.2">
      <c r="A706" s="97">
        <v>1036</v>
      </c>
      <c r="B706" s="98" t="s">
        <v>806</v>
      </c>
      <c r="C706" s="106">
        <v>120000</v>
      </c>
      <c r="D706" s="106">
        <v>120000</v>
      </c>
      <c r="E706" s="106">
        <v>99416</v>
      </c>
      <c r="F706" s="106"/>
      <c r="G706" s="106">
        <f t="shared" si="81"/>
        <v>82.846666666666664</v>
      </c>
      <c r="H706" s="106">
        <f t="shared" si="82"/>
        <v>82.846666666666664</v>
      </c>
      <c r="I706" s="106">
        <f t="shared" si="83"/>
        <v>120.47505095432027</v>
      </c>
      <c r="J706" s="34">
        <v>82519.990000000005</v>
      </c>
    </row>
    <row r="707" spans="1:10" s="76" customFormat="1" ht="15.75" x14ac:dyDescent="0.25">
      <c r="A707" s="97">
        <v>1037</v>
      </c>
      <c r="B707" s="98" t="s">
        <v>807</v>
      </c>
      <c r="C707" s="106">
        <v>20000</v>
      </c>
      <c r="D707" s="106">
        <f>20000+5000</f>
        <v>25000</v>
      </c>
      <c r="E707" s="106">
        <v>20362.59</v>
      </c>
      <c r="F707" s="106"/>
      <c r="G707" s="106">
        <f t="shared" si="81"/>
        <v>101.81294999999999</v>
      </c>
      <c r="H707" s="106">
        <f t="shared" si="82"/>
        <v>81.450360000000003</v>
      </c>
      <c r="I707" s="106">
        <f t="shared" si="83"/>
        <v>134.29130119369518</v>
      </c>
      <c r="J707" s="34">
        <v>15163</v>
      </c>
    </row>
    <row r="708" spans="1:10" s="21" customFormat="1" x14ac:dyDescent="0.2">
      <c r="A708" s="97">
        <v>1039</v>
      </c>
      <c r="B708" s="98" t="s">
        <v>808</v>
      </c>
      <c r="C708" s="106">
        <v>200000</v>
      </c>
      <c r="D708" s="106">
        <f>200000-5000-45000</f>
        <v>150000</v>
      </c>
      <c r="E708" s="106">
        <v>145056.01</v>
      </c>
      <c r="F708" s="106"/>
      <c r="G708" s="106">
        <f t="shared" si="81"/>
        <v>72.528005000000007</v>
      </c>
      <c r="H708" s="106">
        <f t="shared" si="82"/>
        <v>96.704006666666672</v>
      </c>
      <c r="I708" s="106">
        <f t="shared" si="83"/>
        <v>133.49628623289274</v>
      </c>
      <c r="J708" s="34">
        <v>108659.21</v>
      </c>
    </row>
    <row r="709" spans="1:10" s="21" customFormat="1" x14ac:dyDescent="0.2">
      <c r="A709" s="97">
        <v>2369</v>
      </c>
      <c r="B709" s="98" t="s">
        <v>809</v>
      </c>
      <c r="C709" s="106">
        <v>370000</v>
      </c>
      <c r="D709" s="106">
        <v>370000</v>
      </c>
      <c r="E709" s="106">
        <v>14608.33</v>
      </c>
      <c r="F709" s="106"/>
      <c r="G709" s="106">
        <f t="shared" si="81"/>
        <v>3.948197297297297</v>
      </c>
      <c r="H709" s="106">
        <f t="shared" si="82"/>
        <v>3.948197297297297</v>
      </c>
      <c r="I709" s="106">
        <f t="shared" si="83"/>
        <v>37.415935785787333</v>
      </c>
      <c r="J709" s="34">
        <v>39043.07</v>
      </c>
    </row>
    <row r="710" spans="1:10" s="21" customFormat="1" x14ac:dyDescent="0.2">
      <c r="A710" s="97">
        <v>3721</v>
      </c>
      <c r="B710" s="98" t="s">
        <v>810</v>
      </c>
      <c r="C710" s="106">
        <v>50000</v>
      </c>
      <c r="D710" s="106">
        <v>50000</v>
      </c>
      <c r="E710" s="106">
        <v>50000</v>
      </c>
      <c r="F710" s="106"/>
      <c r="G710" s="106">
        <f t="shared" si="81"/>
        <v>100</v>
      </c>
      <c r="H710" s="106">
        <f t="shared" si="82"/>
        <v>100</v>
      </c>
      <c r="I710" s="106">
        <f t="shared" si="83"/>
        <v>100</v>
      </c>
      <c r="J710" s="34">
        <v>50000</v>
      </c>
    </row>
    <row r="711" spans="1:10" s="21" customFormat="1" x14ac:dyDescent="0.2">
      <c r="A711" s="97">
        <v>3722</v>
      </c>
      <c r="B711" s="98" t="s">
        <v>811</v>
      </c>
      <c r="C711" s="114">
        <f>SUM(C712:C714)</f>
        <v>34581300</v>
      </c>
      <c r="D711" s="114">
        <f>SUM(D712:D714)</f>
        <v>30865247.039999999</v>
      </c>
      <c r="E711" s="106">
        <v>30641990.07</v>
      </c>
      <c r="F711" s="47">
        <f>SUM(E712:E714)</f>
        <v>30865247.039999999</v>
      </c>
      <c r="G711" s="106">
        <f t="shared" si="81"/>
        <v>88.608554536700467</v>
      </c>
      <c r="H711" s="106">
        <f t="shared" si="82"/>
        <v>99.276672013314311</v>
      </c>
      <c r="I711" s="106">
        <f t="shared" si="83"/>
        <v>118.49409994552487</v>
      </c>
      <c r="J711" s="34">
        <v>25859507</v>
      </c>
    </row>
    <row r="712" spans="1:10" s="21" customFormat="1" x14ac:dyDescent="0.2">
      <c r="A712" s="97"/>
      <c r="B712" s="152" t="s">
        <v>812</v>
      </c>
      <c r="C712" s="47">
        <f>25870000+647000+950000</f>
        <v>27467000</v>
      </c>
      <c r="D712" s="47">
        <f>(25870000+647000+950000)-750120-49724+500000</f>
        <v>27167156</v>
      </c>
      <c r="E712" s="133">
        <v>27167156</v>
      </c>
      <c r="F712" s="133"/>
      <c r="G712" s="47">
        <f t="shared" si="81"/>
        <v>98.908348199657766</v>
      </c>
      <c r="H712" s="47">
        <f t="shared" si="82"/>
        <v>100</v>
      </c>
      <c r="I712" s="47">
        <f t="shared" si="83"/>
        <v>113.10176060882344</v>
      </c>
      <c r="J712" s="34">
        <v>24020100</v>
      </c>
    </row>
    <row r="713" spans="1:10" s="21" customFormat="1" x14ac:dyDescent="0.2">
      <c r="A713" s="97"/>
      <c r="B713" s="152" t="s">
        <v>813</v>
      </c>
      <c r="C713" s="47">
        <v>2245000</v>
      </c>
      <c r="D713" s="47">
        <f>2245000+50000</f>
        <v>2295000</v>
      </c>
      <c r="E713" s="70">
        <v>2295000</v>
      </c>
      <c r="F713" s="70"/>
      <c r="G713" s="47">
        <f t="shared" si="81"/>
        <v>102.2271714922049</v>
      </c>
      <c r="H713" s="47">
        <f t="shared" si="82"/>
        <v>100</v>
      </c>
      <c r="I713" s="47">
        <f t="shared" si="83"/>
        <v>124.76847157806836</v>
      </c>
      <c r="J713" s="34">
        <v>1839407</v>
      </c>
    </row>
    <row r="714" spans="1:10" s="21" customFormat="1" ht="24.75" x14ac:dyDescent="0.2">
      <c r="A714" s="97"/>
      <c r="B714" s="115" t="s">
        <v>814</v>
      </c>
      <c r="C714" s="47">
        <f>1203000+3666300</f>
        <v>4869300</v>
      </c>
      <c r="D714" s="47">
        <f>1203000+3666300+122376+88030+(-214010-9104.96-1210-2420)-3663880+214010</f>
        <v>1403091.04</v>
      </c>
      <c r="E714" s="70">
        <v>1403091.04</v>
      </c>
      <c r="F714" s="70"/>
      <c r="G714" s="47">
        <f t="shared" si="81"/>
        <v>28.815046105189658</v>
      </c>
      <c r="H714" s="47">
        <f t="shared" si="82"/>
        <v>100</v>
      </c>
      <c r="I714" s="47">
        <v>0</v>
      </c>
      <c r="J714" s="19">
        <v>0</v>
      </c>
    </row>
    <row r="715" spans="1:10" s="21" customFormat="1" x14ac:dyDescent="0.2">
      <c r="A715" s="97">
        <v>3733</v>
      </c>
      <c r="B715" s="98" t="s">
        <v>815</v>
      </c>
      <c r="C715" s="106">
        <v>65000</v>
      </c>
      <c r="D715" s="106">
        <v>65000</v>
      </c>
      <c r="E715" s="114">
        <v>35562</v>
      </c>
      <c r="F715" s="114"/>
      <c r="G715" s="106">
        <f t="shared" si="81"/>
        <v>54.71076923076923</v>
      </c>
      <c r="H715" s="106">
        <f t="shared" si="82"/>
        <v>54.71076923076923</v>
      </c>
      <c r="I715" s="106">
        <v>0</v>
      </c>
      <c r="J715" s="34">
        <v>0</v>
      </c>
    </row>
    <row r="716" spans="1:10" s="21" customFormat="1" x14ac:dyDescent="0.2">
      <c r="A716" s="97">
        <v>3742</v>
      </c>
      <c r="B716" s="113" t="s">
        <v>816</v>
      </c>
      <c r="C716" s="106">
        <v>100000</v>
      </c>
      <c r="D716" s="106">
        <v>100000</v>
      </c>
      <c r="E716" s="114">
        <v>0</v>
      </c>
      <c r="F716" s="114"/>
      <c r="G716" s="106">
        <f t="shared" si="81"/>
        <v>0</v>
      </c>
      <c r="H716" s="106">
        <f t="shared" si="82"/>
        <v>0</v>
      </c>
      <c r="I716" s="106">
        <v>0</v>
      </c>
      <c r="J716" s="34">
        <v>87504</v>
      </c>
    </row>
    <row r="717" spans="1:10" s="21" customFormat="1" x14ac:dyDescent="0.2">
      <c r="A717" s="97">
        <v>3743</v>
      </c>
      <c r="B717" s="98" t="s">
        <v>817</v>
      </c>
      <c r="C717" s="106">
        <v>2000</v>
      </c>
      <c r="D717" s="106">
        <v>2000</v>
      </c>
      <c r="E717" s="114">
        <v>0</v>
      </c>
      <c r="F717" s="397"/>
      <c r="G717" s="106">
        <f t="shared" si="81"/>
        <v>0</v>
      </c>
      <c r="H717" s="106">
        <f t="shared" si="82"/>
        <v>0</v>
      </c>
      <c r="I717" s="106">
        <v>0</v>
      </c>
      <c r="J717" s="34">
        <v>1430</v>
      </c>
    </row>
    <row r="718" spans="1:10" s="21" customFormat="1" x14ac:dyDescent="0.2">
      <c r="A718" s="97">
        <v>3745</v>
      </c>
      <c r="B718" s="98" t="s">
        <v>564</v>
      </c>
      <c r="C718" s="114">
        <f>SUM(C719:C722)</f>
        <v>39868000</v>
      </c>
      <c r="D718" s="114">
        <f>SUM(D719:D722)</f>
        <v>20773671</v>
      </c>
      <c r="E718" s="114">
        <v>20339978.559999999</v>
      </c>
      <c r="F718" s="134">
        <f>SUM(E719:E722)</f>
        <v>20340178.559999999</v>
      </c>
      <c r="G718" s="106">
        <f t="shared" si="81"/>
        <v>51.018306812481185</v>
      </c>
      <c r="H718" s="106">
        <f t="shared" si="82"/>
        <v>97.91229754240355</v>
      </c>
      <c r="I718" s="106">
        <f t="shared" si="83"/>
        <v>109.01990046751308</v>
      </c>
      <c r="J718" s="34">
        <v>18657124.5</v>
      </c>
    </row>
    <row r="719" spans="1:10" s="21" customFormat="1" x14ac:dyDescent="0.2">
      <c r="A719" s="97"/>
      <c r="B719" s="152" t="s">
        <v>818</v>
      </c>
      <c r="C719" s="47">
        <v>250000</v>
      </c>
      <c r="D719" s="47">
        <f>250000+40000</f>
        <v>290000</v>
      </c>
      <c r="E719" s="70">
        <v>265436.59000000003</v>
      </c>
      <c r="F719" s="70"/>
      <c r="G719" s="47">
        <f t="shared" si="81"/>
        <v>106.17463600000001</v>
      </c>
      <c r="H719" s="47">
        <f t="shared" si="82"/>
        <v>91.529858620689666</v>
      </c>
      <c r="I719" s="47">
        <f t="shared" si="83"/>
        <v>203.0573668910649</v>
      </c>
      <c r="J719" s="34">
        <v>130720</v>
      </c>
    </row>
    <row r="720" spans="1:10" s="21" customFormat="1" x14ac:dyDescent="0.2">
      <c r="A720" s="112"/>
      <c r="B720" s="152" t="s">
        <v>819</v>
      </c>
      <c r="C720" s="47">
        <f>16550000+598000</f>
        <v>17148000</v>
      </c>
      <c r="D720" s="47">
        <f>(16550000+598000)-522002</f>
        <v>16625998</v>
      </c>
      <c r="E720" s="70">
        <v>16625998</v>
      </c>
      <c r="F720" s="70"/>
      <c r="G720" s="47">
        <f t="shared" si="81"/>
        <v>96.955901562864483</v>
      </c>
      <c r="H720" s="47">
        <f t="shared" si="82"/>
        <v>100</v>
      </c>
      <c r="I720" s="47">
        <f t="shared" si="83"/>
        <v>101.73385695334414</v>
      </c>
      <c r="J720" s="34">
        <v>16342640</v>
      </c>
    </row>
    <row r="721" spans="1:10" s="21" customFormat="1" x14ac:dyDescent="0.2">
      <c r="A721" s="112"/>
      <c r="B721" s="152" t="s">
        <v>820</v>
      </c>
      <c r="C721" s="47">
        <v>3250000</v>
      </c>
      <c r="D721" s="47">
        <f>3250000+100000+160000+1683-40000</f>
        <v>3471683</v>
      </c>
      <c r="E721" s="70">
        <v>3062753.97</v>
      </c>
      <c r="F721" s="70"/>
      <c r="G721" s="47">
        <f t="shared" si="81"/>
        <v>94.238583692307699</v>
      </c>
      <c r="H721" s="47">
        <f t="shared" si="82"/>
        <v>88.22101470669989</v>
      </c>
      <c r="I721" s="47">
        <f t="shared" si="83"/>
        <v>140.25111086841096</v>
      </c>
      <c r="J721" s="34">
        <v>2183764.5</v>
      </c>
    </row>
    <row r="722" spans="1:10" s="21" customFormat="1" ht="24.75" x14ac:dyDescent="0.2">
      <c r="A722" s="97"/>
      <c r="B722" s="115" t="s">
        <v>821</v>
      </c>
      <c r="C722" s="47">
        <f>18220000+1000000</f>
        <v>19220000</v>
      </c>
      <c r="D722" s="47">
        <f>18220000+1000000+2500000+1760000-220000-21660000-1000000-214010</f>
        <v>385990</v>
      </c>
      <c r="E722" s="104">
        <v>385990</v>
      </c>
      <c r="F722" s="104"/>
      <c r="G722" s="47">
        <f t="shared" si="81"/>
        <v>2.0082726326742977</v>
      </c>
      <c r="H722" s="47">
        <f t="shared" si="82"/>
        <v>100</v>
      </c>
      <c r="I722" s="47">
        <v>0</v>
      </c>
      <c r="J722" s="19">
        <v>0</v>
      </c>
    </row>
    <row r="723" spans="1:10" ht="13.5" thickBot="1" x14ac:dyDescent="0.25">
      <c r="A723" s="97">
        <v>3792</v>
      </c>
      <c r="B723" s="98" t="s">
        <v>822</v>
      </c>
      <c r="C723" s="106">
        <v>155000</v>
      </c>
      <c r="D723" s="106">
        <v>155000</v>
      </c>
      <c r="E723" s="114">
        <v>59030</v>
      </c>
      <c r="F723" s="114"/>
      <c r="G723" s="106">
        <f t="shared" si="81"/>
        <v>38.083870967741937</v>
      </c>
      <c r="H723" s="106">
        <f t="shared" si="82"/>
        <v>38.083870967741937</v>
      </c>
      <c r="I723" s="106">
        <f t="shared" si="83"/>
        <v>94.863883264230381</v>
      </c>
      <c r="J723" s="19">
        <v>62226</v>
      </c>
    </row>
    <row r="724" spans="1:10" ht="16.5" thickBot="1" x14ac:dyDescent="0.3">
      <c r="A724" s="398"/>
      <c r="B724" s="399" t="s">
        <v>823</v>
      </c>
      <c r="C724" s="400">
        <f>SUM(C725:C728)</f>
        <v>300000</v>
      </c>
      <c r="D724" s="400">
        <f>SUM(D725:D728)</f>
        <v>395000</v>
      </c>
      <c r="E724" s="128">
        <v>128570</v>
      </c>
      <c r="F724" s="196">
        <f>SUM(E725:E728)</f>
        <v>128570</v>
      </c>
      <c r="G724" s="128">
        <f t="shared" si="81"/>
        <v>42.856666666666662</v>
      </c>
      <c r="H724" s="128">
        <f t="shared" si="82"/>
        <v>32.549367088607596</v>
      </c>
      <c r="I724" s="128">
        <f t="shared" si="83"/>
        <v>222.31636464241248</v>
      </c>
      <c r="J724" s="19">
        <v>57832</v>
      </c>
    </row>
    <row r="725" spans="1:10" x14ac:dyDescent="0.2">
      <c r="A725" s="401" t="s">
        <v>824</v>
      </c>
      <c r="B725" s="402" t="s">
        <v>825</v>
      </c>
      <c r="C725" s="176">
        <v>150000</v>
      </c>
      <c r="D725" s="176">
        <f t="shared" ref="D725:D726" si="86">150000</f>
        <v>150000</v>
      </c>
      <c r="E725" s="176">
        <v>33570</v>
      </c>
      <c r="F725" s="176"/>
      <c r="G725" s="47">
        <f t="shared" si="81"/>
        <v>22.38</v>
      </c>
      <c r="H725" s="47">
        <f t="shared" si="82"/>
        <v>22.38</v>
      </c>
      <c r="I725" s="47">
        <f t="shared" si="83"/>
        <v>84.152210969617968</v>
      </c>
      <c r="J725" s="34">
        <v>39892</v>
      </c>
    </row>
    <row r="726" spans="1:10" x14ac:dyDescent="0.2">
      <c r="A726" s="403" t="s">
        <v>826</v>
      </c>
      <c r="B726" s="404" t="s">
        <v>827</v>
      </c>
      <c r="C726" s="47">
        <v>150000</v>
      </c>
      <c r="D726" s="47">
        <f t="shared" si="86"/>
        <v>150000</v>
      </c>
      <c r="E726" s="70">
        <v>0</v>
      </c>
      <c r="F726" s="70"/>
      <c r="G726" s="70">
        <f t="shared" si="81"/>
        <v>0</v>
      </c>
      <c r="H726" s="70">
        <f t="shared" si="82"/>
        <v>0</v>
      </c>
      <c r="I726" s="70">
        <v>0</v>
      </c>
      <c r="J726" s="19">
        <v>0</v>
      </c>
    </row>
    <row r="727" spans="1:10" x14ac:dyDescent="0.2">
      <c r="A727" s="405" t="s">
        <v>828</v>
      </c>
      <c r="B727" s="304" t="s">
        <v>829</v>
      </c>
      <c r="C727" s="70">
        <v>0</v>
      </c>
      <c r="D727" s="70">
        <v>50000</v>
      </c>
      <c r="E727" s="70">
        <v>50000</v>
      </c>
      <c r="F727" s="70"/>
      <c r="G727" s="70">
        <v>0</v>
      </c>
      <c r="H727" s="70">
        <f t="shared" si="82"/>
        <v>100</v>
      </c>
      <c r="I727" s="70">
        <v>0</v>
      </c>
      <c r="J727" s="19">
        <v>0</v>
      </c>
    </row>
    <row r="728" spans="1:10" ht="13.5" thickBot="1" x14ac:dyDescent="0.25">
      <c r="A728" s="406" t="s">
        <v>830</v>
      </c>
      <c r="B728" s="407" t="s">
        <v>831</v>
      </c>
      <c r="C728" s="159">
        <v>0</v>
      </c>
      <c r="D728" s="159">
        <v>45000</v>
      </c>
      <c r="E728" s="159">
        <v>45000</v>
      </c>
      <c r="F728" s="159"/>
      <c r="G728" s="159">
        <v>0</v>
      </c>
      <c r="H728" s="159">
        <f t="shared" si="82"/>
        <v>100</v>
      </c>
      <c r="I728" s="159">
        <v>0</v>
      </c>
      <c r="J728" s="19">
        <v>0</v>
      </c>
    </row>
    <row r="729" spans="1:10" ht="13.5" thickBot="1" x14ac:dyDescent="0.25">
      <c r="A729" s="372"/>
      <c r="B729" s="332"/>
      <c r="C729" s="160"/>
      <c r="D729" s="160"/>
      <c r="E729" s="67"/>
      <c r="F729" s="160"/>
      <c r="G729" s="160"/>
      <c r="H729" s="160"/>
      <c r="I729" s="160"/>
    </row>
    <row r="730" spans="1:10" ht="21" thickBot="1" x14ac:dyDescent="0.25">
      <c r="A730" s="408"/>
      <c r="B730" s="319" t="s">
        <v>37</v>
      </c>
      <c r="C730" s="195">
        <f>SUM(C731,C732,C759:C760,C802,C850,C863,C864,C868)</f>
        <v>229356000</v>
      </c>
      <c r="D730" s="195">
        <f>SUM(D731,D732,D759:D760,D802,D850,D863,D864,D868)</f>
        <v>179947520.03</v>
      </c>
      <c r="E730" s="195">
        <v>167901197.56</v>
      </c>
      <c r="F730" s="196">
        <f>SUM(E731:E732,E759:E760,E802,E850,E863:E864,E868)</f>
        <v>167901197.56</v>
      </c>
      <c r="G730" s="195">
        <f t="shared" si="81"/>
        <v>73.205496067249172</v>
      </c>
      <c r="H730" s="195">
        <f t="shared" si="82"/>
        <v>93.30564685304266</v>
      </c>
      <c r="I730" s="195">
        <f t="shared" si="83"/>
        <v>134.44744021953642</v>
      </c>
      <c r="J730" s="34">
        <v>124882405.56</v>
      </c>
    </row>
    <row r="731" spans="1:10" ht="12.75" customHeight="1" x14ac:dyDescent="0.2">
      <c r="A731" s="409">
        <v>3122</v>
      </c>
      <c r="B731" s="410" t="s">
        <v>832</v>
      </c>
      <c r="C731" s="131">
        <v>378000</v>
      </c>
      <c r="D731" s="131">
        <f>378000-100000</f>
        <v>278000</v>
      </c>
      <c r="E731" s="114">
        <v>277560</v>
      </c>
      <c r="F731" s="70"/>
      <c r="G731" s="106">
        <f t="shared" si="81"/>
        <v>73.428571428571431</v>
      </c>
      <c r="H731" s="106">
        <f t="shared" si="82"/>
        <v>99.841726618705039</v>
      </c>
      <c r="I731" s="106">
        <f t="shared" si="83"/>
        <v>100</v>
      </c>
      <c r="J731" s="34">
        <v>277560</v>
      </c>
    </row>
    <row r="732" spans="1:10" ht="12.75" customHeight="1" x14ac:dyDescent="0.2">
      <c r="A732" s="411">
        <v>3412</v>
      </c>
      <c r="B732" s="412" t="s">
        <v>833</v>
      </c>
      <c r="C732" s="413">
        <f>C733+C749</f>
        <v>48546000</v>
      </c>
      <c r="D732" s="413">
        <f>D733+D749</f>
        <v>43492821.179999992</v>
      </c>
      <c r="E732" s="114">
        <v>42631337.530000001</v>
      </c>
      <c r="F732" s="70">
        <f>SUM(E733,E749)</f>
        <v>42631337.530000001</v>
      </c>
      <c r="G732" s="106">
        <f t="shared" si="81"/>
        <v>87.816375252337991</v>
      </c>
      <c r="H732" s="106">
        <f t="shared" si="82"/>
        <v>98.019250932390335</v>
      </c>
      <c r="I732" s="106">
        <f t="shared" si="83"/>
        <v>150.6672532451594</v>
      </c>
      <c r="J732" s="19">
        <v>28295025.370000001</v>
      </c>
    </row>
    <row r="733" spans="1:10" ht="12.75" customHeight="1" x14ac:dyDescent="0.2">
      <c r="A733" s="411"/>
      <c r="B733" s="414" t="s">
        <v>834</v>
      </c>
      <c r="C733" s="413">
        <f>C734+C738+C744</f>
        <v>35412000</v>
      </c>
      <c r="D733" s="413">
        <f>D734+D738+D744</f>
        <v>30392048.999999993</v>
      </c>
      <c r="E733" s="106">
        <v>29580049</v>
      </c>
      <c r="F733" s="47">
        <f>SUM(E734,E738,E744)</f>
        <v>29580049</v>
      </c>
      <c r="G733" s="106">
        <f t="shared" si="81"/>
        <v>83.53114480966903</v>
      </c>
      <c r="H733" s="106">
        <f t="shared" si="82"/>
        <v>97.328248582384191</v>
      </c>
      <c r="I733" s="106">
        <f t="shared" si="83"/>
        <v>134.41444384866358</v>
      </c>
      <c r="J733" s="34">
        <v>22006600</v>
      </c>
    </row>
    <row r="734" spans="1:10" ht="12.75" customHeight="1" x14ac:dyDescent="0.2">
      <c r="A734" s="411"/>
      <c r="B734" s="169" t="s">
        <v>284</v>
      </c>
      <c r="C734" s="351">
        <f>SUM(C735:C737)</f>
        <v>10000000</v>
      </c>
      <c r="D734" s="351">
        <f>SUM(D735:D737)</f>
        <v>5055404.0999999996</v>
      </c>
      <c r="E734" s="70">
        <v>5055404.0999999996</v>
      </c>
      <c r="F734" s="70"/>
      <c r="G734" s="47">
        <f t="shared" si="81"/>
        <v>50.554040999999991</v>
      </c>
      <c r="H734" s="47">
        <f t="shared" si="82"/>
        <v>100</v>
      </c>
      <c r="I734" s="47">
        <f t="shared" si="83"/>
        <v>1723.3235498650085</v>
      </c>
      <c r="J734" s="34">
        <v>293352</v>
      </c>
    </row>
    <row r="735" spans="1:10" ht="12.75" customHeight="1" x14ac:dyDescent="0.2">
      <c r="A735" s="411"/>
      <c r="B735" s="415" t="s">
        <v>835</v>
      </c>
      <c r="C735" s="70">
        <v>0</v>
      </c>
      <c r="D735" s="70">
        <f>11500000-6519951+4800</f>
        <v>4984849</v>
      </c>
      <c r="E735" s="70">
        <v>4984849</v>
      </c>
      <c r="F735" s="70"/>
      <c r="G735" s="47">
        <v>0</v>
      </c>
      <c r="H735" s="47">
        <f t="shared" si="82"/>
        <v>100</v>
      </c>
      <c r="I735" s="47">
        <v>0</v>
      </c>
      <c r="J735" s="34">
        <v>0</v>
      </c>
    </row>
    <row r="736" spans="1:10" ht="12.75" customHeight="1" x14ac:dyDescent="0.2">
      <c r="A736" s="411"/>
      <c r="B736" s="415" t="s">
        <v>836</v>
      </c>
      <c r="C736" s="70">
        <v>10000000</v>
      </c>
      <c r="D736" s="70">
        <f>10000000+1500000-11500000</f>
        <v>0</v>
      </c>
      <c r="E736" s="70">
        <v>0</v>
      </c>
      <c r="F736" s="70"/>
      <c r="G736" s="47">
        <f t="shared" si="81"/>
        <v>0</v>
      </c>
      <c r="H736" s="47">
        <v>0</v>
      </c>
      <c r="I736" s="47">
        <v>0</v>
      </c>
      <c r="J736" s="34">
        <v>0</v>
      </c>
    </row>
    <row r="737" spans="1:10" ht="12.75" customHeight="1" x14ac:dyDescent="0.2">
      <c r="A737" s="411"/>
      <c r="B737" s="415" t="s">
        <v>837</v>
      </c>
      <c r="C737" s="70">
        <v>0</v>
      </c>
      <c r="D737" s="70">
        <f>70555.1</f>
        <v>70555.100000000006</v>
      </c>
      <c r="E737" s="70">
        <v>253707.96</v>
      </c>
      <c r="F737" s="70"/>
      <c r="G737" s="47">
        <v>0</v>
      </c>
      <c r="H737" s="47">
        <v>0</v>
      </c>
      <c r="I737" s="47">
        <f t="shared" si="83"/>
        <v>263.94259818731121</v>
      </c>
      <c r="J737" s="34">
        <v>96122.4</v>
      </c>
    </row>
    <row r="738" spans="1:10" s="419" customFormat="1" ht="12.75" customHeight="1" x14ac:dyDescent="0.2">
      <c r="A738" s="416"/>
      <c r="B738" s="417" t="s">
        <v>838</v>
      </c>
      <c r="C738" s="418">
        <f>SUM(C739:C743)</f>
        <v>770000</v>
      </c>
      <c r="D738" s="418">
        <f>SUM(D739:D743)</f>
        <v>770000</v>
      </c>
      <c r="E738" s="114">
        <v>0</v>
      </c>
      <c r="F738" s="70">
        <f>SUM(E739:E743)</f>
        <v>0</v>
      </c>
      <c r="G738" s="106">
        <f t="shared" si="81"/>
        <v>0</v>
      </c>
      <c r="H738" s="106">
        <f t="shared" si="82"/>
        <v>0</v>
      </c>
      <c r="I738" s="106">
        <v>0</v>
      </c>
      <c r="J738" s="34">
        <v>0</v>
      </c>
    </row>
    <row r="739" spans="1:10" ht="12.75" customHeight="1" x14ac:dyDescent="0.2">
      <c r="A739" s="411"/>
      <c r="B739" s="415" t="s">
        <v>839</v>
      </c>
      <c r="C739" s="351">
        <v>200000</v>
      </c>
      <c r="D739" s="351">
        <v>200000</v>
      </c>
      <c r="E739" s="70">
        <v>0</v>
      </c>
      <c r="F739" s="70"/>
      <c r="G739" s="47">
        <f t="shared" si="81"/>
        <v>0</v>
      </c>
      <c r="H739" s="47">
        <f t="shared" si="82"/>
        <v>0</v>
      </c>
      <c r="I739" s="47">
        <v>0</v>
      </c>
      <c r="J739" s="34">
        <v>0</v>
      </c>
    </row>
    <row r="740" spans="1:10" ht="12.75" customHeight="1" x14ac:dyDescent="0.2">
      <c r="A740" s="411"/>
      <c r="B740" s="415" t="s">
        <v>840</v>
      </c>
      <c r="C740" s="160">
        <v>100000</v>
      </c>
      <c r="D740" s="160">
        <v>100000</v>
      </c>
      <c r="E740" s="70">
        <v>0</v>
      </c>
      <c r="F740" s="70"/>
      <c r="G740" s="47">
        <f t="shared" si="81"/>
        <v>0</v>
      </c>
      <c r="H740" s="47">
        <f t="shared" si="82"/>
        <v>0</v>
      </c>
      <c r="I740" s="47">
        <v>0</v>
      </c>
      <c r="J740" s="34">
        <v>0</v>
      </c>
    </row>
    <row r="741" spans="1:10" ht="12.75" customHeight="1" x14ac:dyDescent="0.2">
      <c r="A741" s="411"/>
      <c r="B741" s="415" t="s">
        <v>841</v>
      </c>
      <c r="C741" s="70">
        <v>270000</v>
      </c>
      <c r="D741" s="70">
        <v>270000</v>
      </c>
      <c r="E741" s="70">
        <v>0</v>
      </c>
      <c r="F741" s="70"/>
      <c r="G741" s="47">
        <f t="shared" si="81"/>
        <v>0</v>
      </c>
      <c r="H741" s="47">
        <f t="shared" si="82"/>
        <v>0</v>
      </c>
      <c r="I741" s="47">
        <v>0</v>
      </c>
      <c r="J741" s="34">
        <v>0</v>
      </c>
    </row>
    <row r="742" spans="1:10" ht="12.75" customHeight="1" x14ac:dyDescent="0.2">
      <c r="A742" s="411"/>
      <c r="B742" s="415" t="s">
        <v>842</v>
      </c>
      <c r="C742" s="70">
        <v>200000</v>
      </c>
      <c r="D742" s="70">
        <v>200000</v>
      </c>
      <c r="E742" s="70">
        <v>0</v>
      </c>
      <c r="F742" s="70"/>
      <c r="G742" s="47">
        <f t="shared" si="81"/>
        <v>0</v>
      </c>
      <c r="H742" s="47">
        <f t="shared" si="82"/>
        <v>0</v>
      </c>
      <c r="I742" s="47">
        <v>0</v>
      </c>
      <c r="J742" s="34">
        <v>0</v>
      </c>
    </row>
    <row r="743" spans="1:10" ht="12.75" customHeight="1" x14ac:dyDescent="0.2">
      <c r="A743" s="411"/>
      <c r="B743" s="415" t="s">
        <v>843</v>
      </c>
      <c r="C743" s="70">
        <v>0</v>
      </c>
      <c r="D743" s="70">
        <f>1500000-1500000</f>
        <v>0</v>
      </c>
      <c r="E743" s="70">
        <v>0</v>
      </c>
      <c r="F743" s="70"/>
      <c r="G743" s="47">
        <v>0</v>
      </c>
      <c r="H743" s="47">
        <v>0</v>
      </c>
      <c r="I743" s="47">
        <v>0</v>
      </c>
      <c r="J743" s="34">
        <v>0</v>
      </c>
    </row>
    <row r="744" spans="1:10" s="21" customFormat="1" ht="12.75" customHeight="1" x14ac:dyDescent="0.2">
      <c r="A744" s="411"/>
      <c r="B744" s="420" t="s">
        <v>844</v>
      </c>
      <c r="C744" s="114">
        <f>SUM(C745:C748)</f>
        <v>24642000</v>
      </c>
      <c r="D744" s="114">
        <f>SUM(D745:D748)</f>
        <v>24566644.899999995</v>
      </c>
      <c r="E744" s="114">
        <v>24524644.899999999</v>
      </c>
      <c r="F744" s="70">
        <f>SUM(E745:E748)</f>
        <v>24524644.899999999</v>
      </c>
      <c r="G744" s="106">
        <f t="shared" ref="G744:G807" si="87">E744/C744*100</f>
        <v>99.523759840921997</v>
      </c>
      <c r="H744" s="106">
        <f t="shared" ref="H744:H807" si="88">E744/D744*100</f>
        <v>99.829036483528938</v>
      </c>
      <c r="I744" s="106">
        <f t="shared" ref="I744:I803" si="89">E744/J744*100</f>
        <v>112.94784341702989</v>
      </c>
      <c r="J744" s="34">
        <v>21713247.600000001</v>
      </c>
    </row>
    <row r="745" spans="1:10" ht="12.75" customHeight="1" x14ac:dyDescent="0.2">
      <c r="A745" s="411"/>
      <c r="B745" s="415" t="s">
        <v>845</v>
      </c>
      <c r="C745" s="70">
        <v>24600000</v>
      </c>
      <c r="D745" s="70">
        <f>24600000-10745-4840-967-151391.92-5052.96-4800-70555.1-8228-15185</f>
        <v>24328235.019999996</v>
      </c>
      <c r="E745" s="70">
        <v>24328235.02</v>
      </c>
      <c r="F745" s="70"/>
      <c r="G745" s="47">
        <f t="shared" si="87"/>
        <v>98.895264308943084</v>
      </c>
      <c r="H745" s="47">
        <f t="shared" si="88"/>
        <v>100.00000000000003</v>
      </c>
      <c r="I745" s="47">
        <f t="shared" si="89"/>
        <v>112.82588028874858</v>
      </c>
      <c r="J745" s="34">
        <v>21562637.010000002</v>
      </c>
    </row>
    <row r="746" spans="1:10" ht="12.75" customHeight="1" x14ac:dyDescent="0.2">
      <c r="A746" s="411"/>
      <c r="B746" s="415" t="s">
        <v>846</v>
      </c>
      <c r="C746" s="70">
        <v>0</v>
      </c>
      <c r="D746" s="70">
        <f>10745+4840+967+151391.92+5052.96+8228+15185</f>
        <v>196409.88</v>
      </c>
      <c r="E746" s="70">
        <v>196409.88</v>
      </c>
      <c r="F746" s="70"/>
      <c r="G746" s="47">
        <v>0</v>
      </c>
      <c r="H746" s="47">
        <f t="shared" si="88"/>
        <v>100</v>
      </c>
      <c r="I746" s="47">
        <f t="shared" si="89"/>
        <v>130.40907681192937</v>
      </c>
      <c r="J746" s="34">
        <v>150610.59</v>
      </c>
    </row>
    <row r="747" spans="1:10" ht="12.75" customHeight="1" x14ac:dyDescent="0.2">
      <c r="A747" s="411"/>
      <c r="B747" s="415" t="s">
        <v>847</v>
      </c>
      <c r="C747" s="70">
        <v>10000</v>
      </c>
      <c r="D747" s="70">
        <v>10000</v>
      </c>
      <c r="E747" s="104">
        <v>0</v>
      </c>
      <c r="F747" s="70"/>
      <c r="G747" s="47">
        <f t="shared" si="87"/>
        <v>0</v>
      </c>
      <c r="H747" s="47">
        <f t="shared" si="88"/>
        <v>0</v>
      </c>
      <c r="I747" s="47">
        <v>0</v>
      </c>
      <c r="J747" s="34">
        <v>0</v>
      </c>
    </row>
    <row r="748" spans="1:10" ht="12.75" customHeight="1" x14ac:dyDescent="0.2">
      <c r="A748" s="411"/>
      <c r="B748" s="169" t="s">
        <v>848</v>
      </c>
      <c r="C748" s="351">
        <v>32000</v>
      </c>
      <c r="D748" s="351">
        <v>32000</v>
      </c>
      <c r="E748" s="104">
        <v>0</v>
      </c>
      <c r="F748" s="104"/>
      <c r="G748" s="47">
        <f t="shared" si="87"/>
        <v>0</v>
      </c>
      <c r="H748" s="47">
        <f t="shared" si="88"/>
        <v>0</v>
      </c>
      <c r="I748" s="47">
        <v>0</v>
      </c>
      <c r="J748" s="34">
        <v>0</v>
      </c>
    </row>
    <row r="749" spans="1:10" s="21" customFormat="1" ht="12.75" customHeight="1" x14ac:dyDescent="0.2">
      <c r="A749" s="411"/>
      <c r="B749" s="421" t="s">
        <v>849</v>
      </c>
      <c r="C749" s="114">
        <f>C750+C752+C755</f>
        <v>13134000</v>
      </c>
      <c r="D749" s="114">
        <f>D750+D752+D755</f>
        <v>13100772.18</v>
      </c>
      <c r="E749" s="103">
        <v>13051288.529999999</v>
      </c>
      <c r="F749" s="103">
        <f>SUM(E750,E752,E755)</f>
        <v>13051288.529999999</v>
      </c>
      <c r="G749" s="106">
        <f t="shared" si="87"/>
        <v>99.370249200548187</v>
      </c>
      <c r="H749" s="106">
        <f t="shared" si="88"/>
        <v>99.622284478196292</v>
      </c>
      <c r="I749" s="106">
        <f t="shared" si="89"/>
        <v>207.54461987039531</v>
      </c>
      <c r="J749" s="34">
        <v>6288425.3700000001</v>
      </c>
    </row>
    <row r="750" spans="1:10" ht="12.75" customHeight="1" x14ac:dyDescent="0.2">
      <c r="A750" s="422"/>
      <c r="B750" s="169" t="s">
        <v>284</v>
      </c>
      <c r="C750" s="70">
        <f>SUM(C751:C751)</f>
        <v>850000</v>
      </c>
      <c r="D750" s="70">
        <f>SUM(D751:D751)</f>
        <v>0</v>
      </c>
      <c r="E750" s="104">
        <v>0</v>
      </c>
      <c r="F750" s="104"/>
      <c r="G750" s="47">
        <f t="shared" si="87"/>
        <v>0</v>
      </c>
      <c r="H750" s="47">
        <v>0</v>
      </c>
      <c r="I750" s="47">
        <v>0</v>
      </c>
      <c r="J750" s="34">
        <v>119292.69</v>
      </c>
    </row>
    <row r="751" spans="1:10" ht="12.75" customHeight="1" x14ac:dyDescent="0.2">
      <c r="A751" s="422"/>
      <c r="B751" s="169" t="s">
        <v>850</v>
      </c>
      <c r="C751" s="351">
        <v>850000</v>
      </c>
      <c r="D751" s="351">
        <f>850000-850000</f>
        <v>0</v>
      </c>
      <c r="E751" s="364">
        <v>0</v>
      </c>
      <c r="F751" s="104"/>
      <c r="G751" s="47">
        <f t="shared" si="87"/>
        <v>0</v>
      </c>
      <c r="H751" s="47">
        <v>0</v>
      </c>
      <c r="I751" s="47">
        <v>0</v>
      </c>
      <c r="J751" s="34">
        <v>0</v>
      </c>
    </row>
    <row r="752" spans="1:10" ht="12.75" customHeight="1" x14ac:dyDescent="0.2">
      <c r="A752" s="422"/>
      <c r="B752" s="169" t="s">
        <v>844</v>
      </c>
      <c r="C752" s="423">
        <f>SUM(C753:C754)</f>
        <v>10034000</v>
      </c>
      <c r="D752" s="423">
        <f>SUM(D753:D754)</f>
        <v>12010772.18</v>
      </c>
      <c r="E752" s="145">
        <v>12005712.18</v>
      </c>
      <c r="F752" s="104">
        <f>SUM(E753:E754)</f>
        <v>12005712.18</v>
      </c>
      <c r="G752" s="47">
        <f t="shared" si="87"/>
        <v>119.65031074347219</v>
      </c>
      <c r="H752" s="47">
        <f t="shared" si="88"/>
        <v>99.957871151628154</v>
      </c>
      <c r="I752" s="47">
        <f t="shared" si="89"/>
        <v>196.05952741191993</v>
      </c>
      <c r="J752" s="328">
        <v>6123503.5800000001</v>
      </c>
    </row>
    <row r="753" spans="1:10" ht="12.75" customHeight="1" x14ac:dyDescent="0.2">
      <c r="A753" s="422"/>
      <c r="B753" s="415" t="s">
        <v>851</v>
      </c>
      <c r="C753" s="70">
        <v>10000000</v>
      </c>
      <c r="D753" s="70">
        <f>10000000+1750000+200000-33227.82</f>
        <v>11916772.18</v>
      </c>
      <c r="E753" s="104">
        <v>11916772.18</v>
      </c>
      <c r="F753" s="104"/>
      <c r="G753" s="47">
        <f t="shared" si="87"/>
        <v>119.1677218</v>
      </c>
      <c r="H753" s="47">
        <f t="shared" si="88"/>
        <v>100</v>
      </c>
      <c r="I753" s="47">
        <f t="shared" si="89"/>
        <v>207.71355014440925</v>
      </c>
      <c r="J753" s="34">
        <v>5737118.3399999999</v>
      </c>
    </row>
    <row r="754" spans="1:10" ht="12.75" customHeight="1" x14ac:dyDescent="0.2">
      <c r="A754" s="422"/>
      <c r="B754" s="424" t="s">
        <v>852</v>
      </c>
      <c r="C754" s="70">
        <v>34000</v>
      </c>
      <c r="D754" s="70">
        <f>34000+60000</f>
        <v>94000</v>
      </c>
      <c r="E754" s="104">
        <v>88940</v>
      </c>
      <c r="F754" s="104"/>
      <c r="G754" s="47">
        <f t="shared" si="87"/>
        <v>261.58823529411762</v>
      </c>
      <c r="H754" s="47">
        <f t="shared" si="88"/>
        <v>94.61702127659575</v>
      </c>
      <c r="I754" s="47">
        <f t="shared" si="89"/>
        <v>84.975875412028856</v>
      </c>
      <c r="J754" s="34">
        <v>104665</v>
      </c>
    </row>
    <row r="755" spans="1:10" ht="12.75" customHeight="1" x14ac:dyDescent="0.2">
      <c r="A755" s="422"/>
      <c r="B755" s="169" t="s">
        <v>853</v>
      </c>
      <c r="C755" s="351">
        <f>SUM(C756:C758)</f>
        <v>2250000</v>
      </c>
      <c r="D755" s="351">
        <f>SUM(D756:D758)</f>
        <v>1090000</v>
      </c>
      <c r="E755" s="104">
        <v>1045576.35</v>
      </c>
      <c r="F755" s="134">
        <f>SUM(E756:E758)</f>
        <v>1045576.35</v>
      </c>
      <c r="G755" s="47">
        <f t="shared" si="87"/>
        <v>46.470059999999997</v>
      </c>
      <c r="H755" s="47">
        <f t="shared" si="88"/>
        <v>95.924435779816505</v>
      </c>
      <c r="I755" s="47">
        <f t="shared" si="89"/>
        <v>2291.4682735359675</v>
      </c>
      <c r="J755" s="34">
        <v>45629.1</v>
      </c>
    </row>
    <row r="756" spans="1:10" ht="12.75" customHeight="1" x14ac:dyDescent="0.2">
      <c r="A756" s="422"/>
      <c r="B756" s="169" t="s">
        <v>854</v>
      </c>
      <c r="C756" s="70">
        <v>500000</v>
      </c>
      <c r="D756" s="70">
        <f>500000-150000-200000-60000</f>
        <v>90000</v>
      </c>
      <c r="E756" s="262">
        <v>45576.35</v>
      </c>
      <c r="F756" s="104"/>
      <c r="G756" s="47">
        <f t="shared" si="87"/>
        <v>9.1152700000000006</v>
      </c>
      <c r="H756" s="47">
        <f t="shared" si="88"/>
        <v>50.640388888888886</v>
      </c>
      <c r="I756" s="47">
        <v>0</v>
      </c>
      <c r="J756" s="34">
        <v>0</v>
      </c>
    </row>
    <row r="757" spans="1:10" ht="12.75" customHeight="1" x14ac:dyDescent="0.2">
      <c r="A757" s="422"/>
      <c r="B757" s="169" t="s">
        <v>855</v>
      </c>
      <c r="C757" s="70">
        <v>1000000</v>
      </c>
      <c r="D757" s="70">
        <v>1000000</v>
      </c>
      <c r="E757" s="104">
        <v>1000000</v>
      </c>
      <c r="F757" s="104"/>
      <c r="G757" s="47">
        <f t="shared" si="87"/>
        <v>100</v>
      </c>
      <c r="H757" s="47">
        <f t="shared" si="88"/>
        <v>100</v>
      </c>
      <c r="I757" s="47">
        <f t="shared" si="89"/>
        <v>2191.5838795856153</v>
      </c>
      <c r="J757" s="34">
        <v>45629.1</v>
      </c>
    </row>
    <row r="758" spans="1:10" ht="12.75" customHeight="1" x14ac:dyDescent="0.2">
      <c r="A758" s="422"/>
      <c r="B758" s="415" t="s">
        <v>856</v>
      </c>
      <c r="C758" s="70">
        <v>750000</v>
      </c>
      <c r="D758" s="70">
        <f>750000-750000</f>
        <v>0</v>
      </c>
      <c r="E758" s="104">
        <v>0</v>
      </c>
      <c r="F758" s="104"/>
      <c r="G758" s="47">
        <f t="shared" si="87"/>
        <v>0</v>
      </c>
      <c r="H758" s="47">
        <v>0</v>
      </c>
      <c r="I758" s="47">
        <v>0</v>
      </c>
      <c r="J758" s="34">
        <v>0</v>
      </c>
    </row>
    <row r="759" spans="1:10" ht="12.75" customHeight="1" x14ac:dyDescent="0.2">
      <c r="A759" s="411">
        <v>3421</v>
      </c>
      <c r="B759" s="425" t="s">
        <v>857</v>
      </c>
      <c r="C759" s="114">
        <v>0</v>
      </c>
      <c r="D759" s="114">
        <v>200000</v>
      </c>
      <c r="E759" s="114">
        <v>196122.62</v>
      </c>
      <c r="F759" s="70"/>
      <c r="G759" s="106">
        <v>0</v>
      </c>
      <c r="H759" s="106">
        <f t="shared" si="88"/>
        <v>98.061310000000006</v>
      </c>
      <c r="I759" s="106">
        <v>0</v>
      </c>
      <c r="J759" s="34">
        <v>0</v>
      </c>
    </row>
    <row r="760" spans="1:10" ht="12.75" customHeight="1" x14ac:dyDescent="0.2">
      <c r="A760" s="411">
        <v>3612</v>
      </c>
      <c r="B760" s="412" t="s">
        <v>568</v>
      </c>
      <c r="C760" s="413">
        <f>C761+C767</f>
        <v>138210000</v>
      </c>
      <c r="D760" s="413">
        <f>D761+D767</f>
        <v>107560000</v>
      </c>
      <c r="E760" s="103">
        <v>104336658.45</v>
      </c>
      <c r="F760" s="104">
        <f>SUM(E761,E767)</f>
        <v>104336658.45</v>
      </c>
      <c r="G760" s="106">
        <f t="shared" si="87"/>
        <v>75.491396027783807</v>
      </c>
      <c r="H760" s="106">
        <f t="shared" si="88"/>
        <v>97.003215368166607</v>
      </c>
      <c r="I760" s="106">
        <f t="shared" si="89"/>
        <v>601.49871490474504</v>
      </c>
      <c r="J760" s="34">
        <v>17346114.940000001</v>
      </c>
    </row>
    <row r="761" spans="1:10" ht="12.75" customHeight="1" x14ac:dyDescent="0.2">
      <c r="A761" s="422"/>
      <c r="B761" s="169" t="s">
        <v>284</v>
      </c>
      <c r="C761" s="70">
        <f>SUM(C762:C766)</f>
        <v>89500000</v>
      </c>
      <c r="D761" s="70">
        <f>SUM(D762:D766)</f>
        <v>64500000</v>
      </c>
      <c r="E761" s="104">
        <v>63797077.710000001</v>
      </c>
      <c r="F761" s="70">
        <f>SUM(E762:E766)</f>
        <v>63797077.709999993</v>
      </c>
      <c r="G761" s="47">
        <f t="shared" si="87"/>
        <v>71.281651072625692</v>
      </c>
      <c r="H761" s="47">
        <f t="shared" si="88"/>
        <v>98.910198000000008</v>
      </c>
      <c r="I761" s="47">
        <f t="shared" si="89"/>
        <v>217.72592235735772</v>
      </c>
      <c r="J761" s="34">
        <v>29301553.539999999</v>
      </c>
    </row>
    <row r="762" spans="1:10" ht="12.75" customHeight="1" x14ac:dyDescent="0.2">
      <c r="A762" s="416"/>
      <c r="B762" s="169" t="s">
        <v>858</v>
      </c>
      <c r="C762" s="70">
        <v>2500000</v>
      </c>
      <c r="D762" s="70">
        <f>2500000-1500000-500000</f>
        <v>500000</v>
      </c>
      <c r="E762" s="104">
        <v>0</v>
      </c>
      <c r="F762" s="104"/>
      <c r="G762" s="47">
        <f t="shared" si="87"/>
        <v>0</v>
      </c>
      <c r="H762" s="47">
        <f t="shared" si="88"/>
        <v>0</v>
      </c>
      <c r="I762" s="47">
        <v>0</v>
      </c>
      <c r="J762" s="34">
        <v>0</v>
      </c>
    </row>
    <row r="763" spans="1:10" ht="12.75" customHeight="1" x14ac:dyDescent="0.2">
      <c r="A763" s="411"/>
      <c r="B763" s="169" t="s">
        <v>859</v>
      </c>
      <c r="C763" s="423">
        <v>17500000</v>
      </c>
      <c r="D763" s="423">
        <f>17500000-17500000</f>
        <v>0</v>
      </c>
      <c r="E763" s="70">
        <v>0</v>
      </c>
      <c r="F763" s="70"/>
      <c r="G763" s="47">
        <f t="shared" si="87"/>
        <v>0</v>
      </c>
      <c r="H763" s="47">
        <v>0</v>
      </c>
      <c r="I763" s="47">
        <v>0</v>
      </c>
      <c r="J763" s="328">
        <v>0</v>
      </c>
    </row>
    <row r="764" spans="1:10" ht="12.75" customHeight="1" x14ac:dyDescent="0.2">
      <c r="A764" s="411"/>
      <c r="B764" s="169" t="s">
        <v>860</v>
      </c>
      <c r="C764" s="390">
        <v>26500000</v>
      </c>
      <c r="D764" s="390">
        <f>26500000-26500000</f>
        <v>0</v>
      </c>
      <c r="E764" s="70">
        <v>0</v>
      </c>
      <c r="F764" s="70"/>
      <c r="G764" s="47">
        <f t="shared" si="87"/>
        <v>0</v>
      </c>
      <c r="H764" s="47">
        <v>0</v>
      </c>
      <c r="I764" s="47">
        <v>0</v>
      </c>
      <c r="J764" s="34">
        <v>0</v>
      </c>
    </row>
    <row r="765" spans="1:10" ht="12.75" customHeight="1" x14ac:dyDescent="0.2">
      <c r="A765" s="411"/>
      <c r="B765" s="415" t="s">
        <v>861</v>
      </c>
      <c r="C765" s="70">
        <v>0</v>
      </c>
      <c r="D765" s="70">
        <f>(40000+800000+1160000)+300000</f>
        <v>2300000</v>
      </c>
      <c r="E765" s="141">
        <v>2298788.41</v>
      </c>
      <c r="F765" s="141"/>
      <c r="G765" s="47">
        <v>0</v>
      </c>
      <c r="H765" s="47">
        <f t="shared" si="88"/>
        <v>99.947322173913051</v>
      </c>
      <c r="I765" s="47">
        <f t="shared" si="89"/>
        <v>52.312851865609552</v>
      </c>
      <c r="J765" s="34">
        <v>4394309.0999999996</v>
      </c>
    </row>
    <row r="766" spans="1:10" ht="12.75" customHeight="1" x14ac:dyDescent="0.2">
      <c r="A766" s="411"/>
      <c r="B766" s="169" t="s">
        <v>862</v>
      </c>
      <c r="C766" s="24">
        <v>43000000</v>
      </c>
      <c r="D766" s="24">
        <f>43000000+17200000+1500000</f>
        <v>61700000</v>
      </c>
      <c r="E766" s="104">
        <v>61498289.299999997</v>
      </c>
      <c r="F766" s="104"/>
      <c r="G766" s="47">
        <f t="shared" si="87"/>
        <v>143.01927744186045</v>
      </c>
      <c r="H766" s="47">
        <f t="shared" si="88"/>
        <v>99.673078282009726</v>
      </c>
      <c r="I766" s="47">
        <f t="shared" si="89"/>
        <v>502.22071395384688</v>
      </c>
      <c r="J766" s="34">
        <v>12245271.369999999</v>
      </c>
    </row>
    <row r="767" spans="1:10" ht="12.75" customHeight="1" x14ac:dyDescent="0.2">
      <c r="A767" s="426"/>
      <c r="B767" s="415" t="s">
        <v>863</v>
      </c>
      <c r="C767" s="427">
        <f>C768+C773+C779+C785+C800+C801+SUM(C791:C795)</f>
        <v>48710000</v>
      </c>
      <c r="D767" s="427">
        <f>D768+D773+D779+D785+D800+D801+SUM(D791:D795)</f>
        <v>43060000</v>
      </c>
      <c r="E767" s="104">
        <v>40539580.740000002</v>
      </c>
      <c r="F767" s="427">
        <f>F768+F773+F779+F785+F800+F801+SUM(F791:F795)</f>
        <v>37835134.390000001</v>
      </c>
      <c r="G767" s="47">
        <f t="shared" si="87"/>
        <v>83.226402668856508</v>
      </c>
      <c r="H767" s="47">
        <f t="shared" si="88"/>
        <v>94.146727217835576</v>
      </c>
      <c r="I767" s="47">
        <f t="shared" si="89"/>
        <v>117.55066436809692</v>
      </c>
      <c r="J767" s="19">
        <v>34486900.57</v>
      </c>
    </row>
    <row r="768" spans="1:10" s="432" customFormat="1" ht="12.75" customHeight="1" x14ac:dyDescent="0.2">
      <c r="A768" s="428"/>
      <c r="B768" s="414" t="s">
        <v>864</v>
      </c>
      <c r="C768" s="429">
        <f>SUM(C769:C772)</f>
        <v>12150000</v>
      </c>
      <c r="D768" s="429">
        <f>SUM(D769:D772)</f>
        <v>9950000</v>
      </c>
      <c r="E768" s="397">
        <v>9389135.7699999996</v>
      </c>
      <c r="F768" s="430">
        <f>SUM(E769:E772)</f>
        <v>9389135.7699999996</v>
      </c>
      <c r="G768" s="431">
        <f t="shared" si="87"/>
        <v>77.276837613168723</v>
      </c>
      <c r="H768" s="431">
        <f t="shared" si="88"/>
        <v>94.363173567839183</v>
      </c>
      <c r="I768" s="431">
        <f t="shared" si="89"/>
        <v>174.66388659008837</v>
      </c>
      <c r="J768" s="34">
        <v>5375544.9699999997</v>
      </c>
    </row>
    <row r="769" spans="1:10" ht="12.75" customHeight="1" x14ac:dyDescent="0.2">
      <c r="A769" s="426"/>
      <c r="B769" s="415" t="s">
        <v>865</v>
      </c>
      <c r="C769" s="427">
        <v>5750000</v>
      </c>
      <c r="D769" s="427">
        <f>5750000-50000</f>
        <v>5700000</v>
      </c>
      <c r="E769" s="104">
        <v>5684492.04</v>
      </c>
      <c r="F769" s="433"/>
      <c r="G769" s="47">
        <f t="shared" si="87"/>
        <v>98.860731130434786</v>
      </c>
      <c r="H769" s="47">
        <f t="shared" si="88"/>
        <v>99.727930526315788</v>
      </c>
      <c r="I769" s="47">
        <f t="shared" si="89"/>
        <v>105.74726975077282</v>
      </c>
      <c r="J769" s="34">
        <v>5375544.9699999997</v>
      </c>
    </row>
    <row r="770" spans="1:10" s="432" customFormat="1" ht="15" customHeight="1" x14ac:dyDescent="0.2">
      <c r="A770" s="434"/>
      <c r="B770" s="435" t="s">
        <v>866</v>
      </c>
      <c r="C770" s="436">
        <v>1400000</v>
      </c>
      <c r="D770" s="436">
        <f>1400000-150000</f>
        <v>1250000</v>
      </c>
      <c r="E770" s="104">
        <v>1224245.18</v>
      </c>
      <c r="F770" s="104"/>
      <c r="G770" s="47">
        <f t="shared" si="87"/>
        <v>87.446084285714278</v>
      </c>
      <c r="H770" s="47">
        <f t="shared" si="88"/>
        <v>97.939614399999996</v>
      </c>
      <c r="I770" s="47">
        <v>0</v>
      </c>
      <c r="J770" s="34">
        <v>0</v>
      </c>
    </row>
    <row r="771" spans="1:10" ht="12.75" customHeight="1" x14ac:dyDescent="0.2">
      <c r="A771" s="426"/>
      <c r="B771" s="415" t="s">
        <v>867</v>
      </c>
      <c r="C771" s="437">
        <v>2000000</v>
      </c>
      <c r="D771" s="437">
        <v>2000000</v>
      </c>
      <c r="E771" s="104">
        <v>1905268.55</v>
      </c>
      <c r="F771" s="104"/>
      <c r="G771" s="47">
        <f t="shared" si="87"/>
        <v>95.263427499999992</v>
      </c>
      <c r="H771" s="47">
        <f t="shared" si="88"/>
        <v>95.263427499999992</v>
      </c>
      <c r="I771" s="47">
        <v>0</v>
      </c>
      <c r="J771" s="34">
        <v>0</v>
      </c>
    </row>
    <row r="772" spans="1:10" ht="27" customHeight="1" x14ac:dyDescent="0.2">
      <c r="A772" s="411"/>
      <c r="B772" s="415" t="s">
        <v>868</v>
      </c>
      <c r="C772" s="47">
        <v>3000000</v>
      </c>
      <c r="D772" s="47">
        <f>3000000-2000000</f>
        <v>1000000</v>
      </c>
      <c r="E772" s="104">
        <v>575130</v>
      </c>
      <c r="F772" s="104"/>
      <c r="G772" s="47">
        <f t="shared" si="87"/>
        <v>19.170999999999999</v>
      </c>
      <c r="H772" s="47">
        <f t="shared" si="88"/>
        <v>57.513000000000005</v>
      </c>
      <c r="I772" s="47">
        <v>0</v>
      </c>
      <c r="J772" s="19">
        <v>0</v>
      </c>
    </row>
    <row r="773" spans="1:10" s="21" customFormat="1" ht="12.75" customHeight="1" x14ac:dyDescent="0.2">
      <c r="A773" s="411"/>
      <c r="B773" s="438" t="s">
        <v>869</v>
      </c>
      <c r="C773" s="439">
        <f>C774+C775</f>
        <v>5500000</v>
      </c>
      <c r="D773" s="439">
        <f>D774+D775</f>
        <v>3050000</v>
      </c>
      <c r="E773" s="440">
        <v>2960179.94</v>
      </c>
      <c r="F773" s="433">
        <f>SUM(E774:E775)</f>
        <v>2960179.94</v>
      </c>
      <c r="G773" s="431">
        <f t="shared" si="87"/>
        <v>53.821453454545455</v>
      </c>
      <c r="H773" s="431">
        <f t="shared" si="88"/>
        <v>97.05507999999999</v>
      </c>
      <c r="I773" s="431">
        <f t="shared" si="89"/>
        <v>131.83161343245962</v>
      </c>
      <c r="J773" s="34">
        <v>2245424.9500000002</v>
      </c>
    </row>
    <row r="774" spans="1:10" ht="12.75" customHeight="1" x14ac:dyDescent="0.2">
      <c r="A774" s="422"/>
      <c r="B774" s="415" t="s">
        <v>870</v>
      </c>
      <c r="C774" s="70">
        <v>3000000</v>
      </c>
      <c r="D774" s="70">
        <f>3000000-200000</f>
        <v>2800000</v>
      </c>
      <c r="E774" s="104">
        <v>2718003.94</v>
      </c>
      <c r="F774" s="433"/>
      <c r="G774" s="47">
        <f t="shared" si="87"/>
        <v>90.600131333333337</v>
      </c>
      <c r="H774" s="47">
        <f t="shared" si="88"/>
        <v>97.07156928571429</v>
      </c>
      <c r="I774" s="47">
        <f t="shared" si="89"/>
        <v>126.68724997453322</v>
      </c>
      <c r="J774" s="34">
        <v>2145443.9500000002</v>
      </c>
    </row>
    <row r="775" spans="1:10" ht="12.75" customHeight="1" x14ac:dyDescent="0.2">
      <c r="A775" s="422"/>
      <c r="B775" s="441" t="s">
        <v>871</v>
      </c>
      <c r="C775" s="70">
        <f>SUM(C776:C778)</f>
        <v>2500000</v>
      </c>
      <c r="D775" s="70">
        <f>SUM(D776:D778)</f>
        <v>250000</v>
      </c>
      <c r="E775" s="104">
        <v>242176</v>
      </c>
      <c r="F775" s="104"/>
      <c r="G775" s="47">
        <f t="shared" si="87"/>
        <v>9.6870399999999997</v>
      </c>
      <c r="H775" s="47">
        <f t="shared" si="88"/>
        <v>96.870400000000004</v>
      </c>
      <c r="I775" s="47">
        <f t="shared" si="89"/>
        <v>242.22202218421498</v>
      </c>
      <c r="J775" s="34">
        <v>99981</v>
      </c>
    </row>
    <row r="776" spans="1:10" ht="12.75" customHeight="1" x14ac:dyDescent="0.2">
      <c r="A776" s="411"/>
      <c r="B776" s="441" t="s">
        <v>872</v>
      </c>
      <c r="C776" s="351">
        <v>1800000</v>
      </c>
      <c r="D776" s="351">
        <f>1800000-1800000</f>
        <v>0</v>
      </c>
      <c r="E776" s="70">
        <v>0</v>
      </c>
      <c r="F776" s="70"/>
      <c r="G776" s="47">
        <f t="shared" si="87"/>
        <v>0</v>
      </c>
      <c r="H776" s="47">
        <v>0</v>
      </c>
      <c r="I776" s="47">
        <v>0</v>
      </c>
      <c r="J776" s="34">
        <v>0</v>
      </c>
    </row>
    <row r="777" spans="1:10" ht="12.75" customHeight="1" x14ac:dyDescent="0.2">
      <c r="A777" s="422"/>
      <c r="B777" s="441" t="s">
        <v>873</v>
      </c>
      <c r="C777" s="70">
        <v>600000</v>
      </c>
      <c r="D777" s="70">
        <f>600000-400000</f>
        <v>200000</v>
      </c>
      <c r="E777" s="70">
        <v>195776</v>
      </c>
      <c r="F777" s="70"/>
      <c r="G777" s="47">
        <f t="shared" si="87"/>
        <v>32.629333333333335</v>
      </c>
      <c r="H777" s="47">
        <f t="shared" si="88"/>
        <v>97.887999999999991</v>
      </c>
      <c r="I777" s="47">
        <v>0</v>
      </c>
      <c r="J777" s="34">
        <v>0</v>
      </c>
    </row>
    <row r="778" spans="1:10" ht="12.75" customHeight="1" x14ac:dyDescent="0.2">
      <c r="A778" s="422"/>
      <c r="B778" s="441" t="s">
        <v>874</v>
      </c>
      <c r="C778" s="351">
        <v>100000</v>
      </c>
      <c r="D778" s="351">
        <f>100000-50000</f>
        <v>50000</v>
      </c>
      <c r="E778" s="70">
        <v>46400</v>
      </c>
      <c r="F778" s="430"/>
      <c r="G778" s="47">
        <f t="shared" si="87"/>
        <v>46.400000000000006</v>
      </c>
      <c r="H778" s="47">
        <f t="shared" si="88"/>
        <v>92.800000000000011</v>
      </c>
      <c r="I778" s="47">
        <v>0</v>
      </c>
      <c r="J778" s="34">
        <v>0</v>
      </c>
    </row>
    <row r="779" spans="1:10" s="432" customFormat="1" ht="12.75" customHeight="1" x14ac:dyDescent="0.2">
      <c r="A779" s="434"/>
      <c r="B779" s="442" t="s">
        <v>875</v>
      </c>
      <c r="C779" s="397">
        <f>C780+C781</f>
        <v>4200000</v>
      </c>
      <c r="D779" s="397">
        <f>D780+D781</f>
        <v>3750000</v>
      </c>
      <c r="E779" s="397">
        <v>3619699.01</v>
      </c>
      <c r="F779" s="430">
        <f>SUM(E780:E781)</f>
        <v>3619699.01</v>
      </c>
      <c r="G779" s="431">
        <f t="shared" si="87"/>
        <v>86.183309761904752</v>
      </c>
      <c r="H779" s="431">
        <f t="shared" si="88"/>
        <v>96.525306933333326</v>
      </c>
      <c r="I779" s="431">
        <f t="shared" si="89"/>
        <v>118.59273426869588</v>
      </c>
      <c r="J779" s="34">
        <v>3052209.76</v>
      </c>
    </row>
    <row r="780" spans="1:10" s="432" customFormat="1" ht="12.75" customHeight="1" x14ac:dyDescent="0.2">
      <c r="A780" s="434"/>
      <c r="B780" s="443" t="s">
        <v>876</v>
      </c>
      <c r="C780" s="181">
        <v>3000000</v>
      </c>
      <c r="D780" s="181">
        <f>3000000-100000</f>
        <v>2900000</v>
      </c>
      <c r="E780" s="430">
        <v>2881254.96</v>
      </c>
      <c r="F780" s="430"/>
      <c r="G780" s="47">
        <f t="shared" si="87"/>
        <v>96.041831999999999</v>
      </c>
      <c r="H780" s="47">
        <f t="shared" si="88"/>
        <v>99.353619310344826</v>
      </c>
      <c r="I780" s="47">
        <f t="shared" si="89"/>
        <v>115.62758324368041</v>
      </c>
      <c r="J780" s="34">
        <v>2491840.5099999998</v>
      </c>
    </row>
    <row r="781" spans="1:10" s="432" customFormat="1" ht="12.75" customHeight="1" x14ac:dyDescent="0.2">
      <c r="A781" s="422"/>
      <c r="B781" s="441" t="s">
        <v>877</v>
      </c>
      <c r="C781" s="351">
        <f>SUM(C782:C784)</f>
        <v>1200000</v>
      </c>
      <c r="D781" s="351">
        <f>SUM(D782:D784)</f>
        <v>850000</v>
      </c>
      <c r="E781" s="70">
        <v>738444.05</v>
      </c>
      <c r="F781" s="70">
        <f>SUM(E782:E784)</f>
        <v>738444.05</v>
      </c>
      <c r="G781" s="47">
        <f t="shared" si="87"/>
        <v>61.537004166666676</v>
      </c>
      <c r="H781" s="47">
        <f t="shared" si="88"/>
        <v>86.875770588235298</v>
      </c>
      <c r="I781" s="47">
        <f t="shared" si="89"/>
        <v>131.77811773219176</v>
      </c>
      <c r="J781" s="34">
        <v>560369.25</v>
      </c>
    </row>
    <row r="782" spans="1:10" ht="12.75" customHeight="1" x14ac:dyDescent="0.2">
      <c r="A782" s="422"/>
      <c r="B782" s="169" t="s">
        <v>878</v>
      </c>
      <c r="C782" s="70">
        <v>500000</v>
      </c>
      <c r="D782" s="70">
        <f>500000-250000</f>
        <v>250000</v>
      </c>
      <c r="E782" s="70">
        <v>225170</v>
      </c>
      <c r="F782" s="70"/>
      <c r="G782" s="47">
        <f t="shared" si="87"/>
        <v>45.033999999999999</v>
      </c>
      <c r="H782" s="47">
        <f t="shared" si="88"/>
        <v>90.067999999999998</v>
      </c>
      <c r="I782" s="47">
        <v>0</v>
      </c>
      <c r="J782" s="34">
        <v>0</v>
      </c>
    </row>
    <row r="783" spans="1:10" s="432" customFormat="1" ht="12.75" customHeight="1" x14ac:dyDescent="0.2">
      <c r="A783" s="434"/>
      <c r="B783" s="415" t="s">
        <v>879</v>
      </c>
      <c r="C783" s="70">
        <v>400000</v>
      </c>
      <c r="D783" s="70">
        <v>400000</v>
      </c>
      <c r="E783" s="104">
        <v>342809.25</v>
      </c>
      <c r="F783" s="104"/>
      <c r="G783" s="47">
        <f t="shared" si="87"/>
        <v>85.702312500000005</v>
      </c>
      <c r="H783" s="47">
        <f t="shared" si="88"/>
        <v>85.702312500000005</v>
      </c>
      <c r="I783" s="47">
        <f t="shared" si="89"/>
        <v>114.57892212486693</v>
      </c>
      <c r="J783" s="328">
        <v>299190.5</v>
      </c>
    </row>
    <row r="784" spans="1:10" s="432" customFormat="1" ht="12.75" customHeight="1" x14ac:dyDescent="0.2">
      <c r="A784" s="434"/>
      <c r="B784" s="415" t="s">
        <v>880</v>
      </c>
      <c r="C784" s="351">
        <v>300000</v>
      </c>
      <c r="D784" s="351">
        <f>300000-100000</f>
        <v>200000</v>
      </c>
      <c r="E784" s="70">
        <v>170464.8</v>
      </c>
      <c r="F784" s="70"/>
      <c r="G784" s="47">
        <f t="shared" si="87"/>
        <v>56.821599999999997</v>
      </c>
      <c r="H784" s="47">
        <f t="shared" si="88"/>
        <v>85.232399999999998</v>
      </c>
      <c r="I784" s="47">
        <v>0</v>
      </c>
      <c r="J784" s="34">
        <v>0</v>
      </c>
    </row>
    <row r="785" spans="1:11" s="432" customFormat="1" ht="12.75" customHeight="1" x14ac:dyDescent="0.2">
      <c r="A785" s="434"/>
      <c r="B785" s="444" t="s">
        <v>881</v>
      </c>
      <c r="C785" s="445">
        <f>C786+C787</f>
        <v>3250000</v>
      </c>
      <c r="D785" s="445">
        <f>D786+D787</f>
        <v>2750000</v>
      </c>
      <c r="E785" s="446">
        <v>2537391.0699999998</v>
      </c>
      <c r="F785" s="447">
        <f>SUM(E786:E787)</f>
        <v>2537391.0700000003</v>
      </c>
      <c r="G785" s="431">
        <f t="shared" si="87"/>
        <v>78.073571384615377</v>
      </c>
      <c r="H785" s="431">
        <f t="shared" si="88"/>
        <v>92.268766181818179</v>
      </c>
      <c r="I785" s="431">
        <v>0</v>
      </c>
      <c r="J785" s="34">
        <v>1226478.49</v>
      </c>
    </row>
    <row r="786" spans="1:11" s="432" customFormat="1" ht="12.75" customHeight="1" x14ac:dyDescent="0.2">
      <c r="A786" s="434"/>
      <c r="B786" s="415" t="s">
        <v>882</v>
      </c>
      <c r="C786" s="423">
        <v>2000000</v>
      </c>
      <c r="D786" s="423">
        <v>2000000</v>
      </c>
      <c r="E786" s="125">
        <v>1864112.07</v>
      </c>
      <c r="F786" s="125"/>
      <c r="G786" s="47">
        <f t="shared" si="87"/>
        <v>93.205603499999995</v>
      </c>
      <c r="H786" s="47">
        <f t="shared" si="88"/>
        <v>93.205603499999995</v>
      </c>
      <c r="I786" s="47">
        <f t="shared" si="89"/>
        <v>151.98897373242968</v>
      </c>
      <c r="J786" s="34">
        <v>1226478.49</v>
      </c>
    </row>
    <row r="787" spans="1:11" s="432" customFormat="1" ht="12.75" customHeight="1" x14ac:dyDescent="0.2">
      <c r="A787" s="422"/>
      <c r="B787" s="169" t="s">
        <v>883</v>
      </c>
      <c r="C787" s="47">
        <f>SUM(C788:C790)</f>
        <v>1250000</v>
      </c>
      <c r="D787" s="47">
        <f>SUM(D788:D790)</f>
        <v>750000</v>
      </c>
      <c r="E787" s="70">
        <v>673279</v>
      </c>
      <c r="F787" s="70">
        <f>SUM(E788:E790)</f>
        <v>673279</v>
      </c>
      <c r="G787" s="47">
        <f t="shared" si="87"/>
        <v>53.862319999999997</v>
      </c>
      <c r="H787" s="47">
        <f t="shared" si="88"/>
        <v>89.770533333333333</v>
      </c>
      <c r="I787" s="47">
        <v>0</v>
      </c>
      <c r="J787" s="19">
        <v>0</v>
      </c>
    </row>
    <row r="788" spans="1:11" ht="12.75" customHeight="1" x14ac:dyDescent="0.2">
      <c r="A788" s="422"/>
      <c r="B788" s="169" t="s">
        <v>884</v>
      </c>
      <c r="C788" s="47">
        <v>250000</v>
      </c>
      <c r="D788" s="47">
        <v>250000</v>
      </c>
      <c r="E788" s="70">
        <v>177905</v>
      </c>
      <c r="F788" s="70"/>
      <c r="G788" s="47">
        <f t="shared" si="87"/>
        <v>71.162000000000006</v>
      </c>
      <c r="H788" s="47">
        <f t="shared" si="88"/>
        <v>71.162000000000006</v>
      </c>
      <c r="I788" s="47">
        <v>0</v>
      </c>
      <c r="J788" s="19">
        <v>0</v>
      </c>
    </row>
    <row r="789" spans="1:11" ht="12.75" customHeight="1" x14ac:dyDescent="0.2">
      <c r="A789" s="422"/>
      <c r="B789" s="448" t="s">
        <v>885</v>
      </c>
      <c r="C789" s="423">
        <v>500000</v>
      </c>
      <c r="D789" s="423">
        <f>500000-300000-200000</f>
        <v>0</v>
      </c>
      <c r="E789" s="70">
        <v>0</v>
      </c>
      <c r="F789" s="70"/>
      <c r="G789" s="47">
        <f t="shared" si="87"/>
        <v>0</v>
      </c>
      <c r="H789" s="47">
        <v>0</v>
      </c>
      <c r="I789" s="47">
        <v>0</v>
      </c>
      <c r="J789" s="19">
        <v>0</v>
      </c>
    </row>
    <row r="790" spans="1:11" ht="12.75" customHeight="1" x14ac:dyDescent="0.2">
      <c r="A790" s="434"/>
      <c r="B790" s="448" t="s">
        <v>886</v>
      </c>
      <c r="C790" s="423">
        <v>500000</v>
      </c>
      <c r="D790" s="423">
        <v>500000</v>
      </c>
      <c r="E790" s="141">
        <v>495374</v>
      </c>
      <c r="F790" s="104"/>
      <c r="G790" s="47">
        <f t="shared" si="87"/>
        <v>99.074799999999996</v>
      </c>
      <c r="H790" s="47">
        <f t="shared" si="88"/>
        <v>99.074799999999996</v>
      </c>
      <c r="I790" s="47">
        <v>0</v>
      </c>
      <c r="J790" s="34">
        <v>0</v>
      </c>
    </row>
    <row r="791" spans="1:11" s="432" customFormat="1" ht="12.75" customHeight="1" x14ac:dyDescent="0.2">
      <c r="A791" s="434"/>
      <c r="B791" s="449" t="s">
        <v>887</v>
      </c>
      <c r="C791" s="47">
        <v>260000</v>
      </c>
      <c r="D791" s="47">
        <v>260000</v>
      </c>
      <c r="E791" s="104">
        <v>159602</v>
      </c>
      <c r="F791" s="104"/>
      <c r="G791" s="47">
        <f t="shared" si="87"/>
        <v>61.385384615384616</v>
      </c>
      <c r="H791" s="47">
        <f t="shared" si="88"/>
        <v>61.385384615384616</v>
      </c>
      <c r="I791" s="47">
        <f t="shared" si="89"/>
        <v>134.88214862203893</v>
      </c>
      <c r="J791" s="19">
        <v>118327</v>
      </c>
    </row>
    <row r="792" spans="1:11" s="432" customFormat="1" ht="26.25" customHeight="1" x14ac:dyDescent="0.2">
      <c r="A792" s="434"/>
      <c r="B792" s="449" t="s">
        <v>888</v>
      </c>
      <c r="C792" s="47">
        <v>2000000</v>
      </c>
      <c r="D792" s="47">
        <f>2000000-1500000+1500000</f>
        <v>2000000</v>
      </c>
      <c r="E792" s="104">
        <v>1903464.58</v>
      </c>
      <c r="F792" s="104"/>
      <c r="G792" s="47">
        <f t="shared" si="87"/>
        <v>95.173229000000006</v>
      </c>
      <c r="H792" s="47">
        <f t="shared" si="88"/>
        <v>95.173229000000006</v>
      </c>
      <c r="I792" s="47">
        <f t="shared" si="89"/>
        <v>70.105414171176548</v>
      </c>
      <c r="J792" s="19">
        <v>2715146.33</v>
      </c>
    </row>
    <row r="793" spans="1:11" s="432" customFormat="1" ht="12.75" customHeight="1" x14ac:dyDescent="0.2">
      <c r="A793" s="434"/>
      <c r="B793" s="450" t="s">
        <v>889</v>
      </c>
      <c r="C793" s="47">
        <v>100000</v>
      </c>
      <c r="D793" s="47">
        <v>100000</v>
      </c>
      <c r="E793" s="104">
        <v>87216.960000000006</v>
      </c>
      <c r="F793" s="104"/>
      <c r="G793" s="47">
        <f t="shared" si="87"/>
        <v>87.216960000000014</v>
      </c>
      <c r="H793" s="47">
        <f t="shared" si="88"/>
        <v>87.216960000000014</v>
      </c>
      <c r="I793" s="47">
        <f t="shared" si="89"/>
        <v>103.85938839668478</v>
      </c>
      <c r="J793" s="34">
        <v>83976</v>
      </c>
    </row>
    <row r="794" spans="1:11" s="432" customFormat="1" ht="12.75" customHeight="1" x14ac:dyDescent="0.2">
      <c r="A794" s="434"/>
      <c r="B794" s="451" t="s">
        <v>890</v>
      </c>
      <c r="C794" s="70">
        <v>200000</v>
      </c>
      <c r="D794" s="70">
        <v>200000</v>
      </c>
      <c r="E794" s="104">
        <v>39951.96</v>
      </c>
      <c r="F794" s="104"/>
      <c r="G794" s="47">
        <f t="shared" si="87"/>
        <v>19.97598</v>
      </c>
      <c r="H794" s="47">
        <f t="shared" si="88"/>
        <v>19.97598</v>
      </c>
      <c r="I794" s="47">
        <v>0</v>
      </c>
      <c r="J794" s="19">
        <v>0</v>
      </c>
    </row>
    <row r="795" spans="1:11" s="432" customFormat="1" ht="12.75" customHeight="1" x14ac:dyDescent="0.2">
      <c r="A795" s="434"/>
      <c r="B795" s="451" t="s">
        <v>891</v>
      </c>
      <c r="C795" s="47">
        <f>C796+C797+C798+C799</f>
        <v>20000000</v>
      </c>
      <c r="D795" s="47">
        <f>D796+D797+D798+D799</f>
        <v>20000000</v>
      </c>
      <c r="E795" s="364">
        <v>19328728.600000001</v>
      </c>
      <c r="F795" s="364">
        <f>SUM(E796:E800)</f>
        <v>19328728.600000001</v>
      </c>
      <c r="G795" s="47">
        <f t="shared" si="87"/>
        <v>96.643643000000012</v>
      </c>
      <c r="H795" s="47">
        <f t="shared" si="88"/>
        <v>96.643643000000012</v>
      </c>
      <c r="I795" s="47">
        <f t="shared" si="89"/>
        <v>98.266049526874866</v>
      </c>
      <c r="J795" s="19">
        <v>19669793.07</v>
      </c>
    </row>
    <row r="796" spans="1:11" s="432" customFormat="1" ht="12.75" customHeight="1" x14ac:dyDescent="0.2">
      <c r="A796" s="434"/>
      <c r="B796" s="452" t="s">
        <v>892</v>
      </c>
      <c r="C796" s="70">
        <v>5100000</v>
      </c>
      <c r="D796" s="70">
        <f>5100000+1000000+300000</f>
        <v>6400000</v>
      </c>
      <c r="E796" s="104">
        <v>6290629.5499999998</v>
      </c>
      <c r="F796" s="104"/>
      <c r="G796" s="47">
        <f t="shared" si="87"/>
        <v>123.34567745098039</v>
      </c>
      <c r="H796" s="47">
        <f t="shared" si="88"/>
        <v>98.291086718749995</v>
      </c>
      <c r="I796" s="47">
        <f t="shared" si="89"/>
        <v>99.289213567935931</v>
      </c>
      <c r="J796" s="19">
        <v>6335662.5800000001</v>
      </c>
    </row>
    <row r="797" spans="1:11" s="432" customFormat="1" ht="12.75" customHeight="1" x14ac:dyDescent="0.2">
      <c r="A797" s="422"/>
      <c r="B797" s="448" t="s">
        <v>893</v>
      </c>
      <c r="C797" s="47">
        <v>13200000</v>
      </c>
      <c r="D797" s="47">
        <f>13200000-1000000+300000</f>
        <v>12500000</v>
      </c>
      <c r="E797" s="141">
        <v>12420108.02</v>
      </c>
      <c r="F797" s="141"/>
      <c r="G797" s="47">
        <f t="shared" si="87"/>
        <v>94.091727424242421</v>
      </c>
      <c r="H797" s="47">
        <f t="shared" si="88"/>
        <v>99.360864159999991</v>
      </c>
      <c r="I797" s="47">
        <f t="shared" si="89"/>
        <v>101.8048733946097</v>
      </c>
      <c r="J797" s="34">
        <v>12199915</v>
      </c>
    </row>
    <row r="798" spans="1:11" s="432" customFormat="1" ht="12.75" customHeight="1" x14ac:dyDescent="0.2">
      <c r="A798" s="422"/>
      <c r="B798" s="169" t="s">
        <v>894</v>
      </c>
      <c r="C798" s="47">
        <v>200000</v>
      </c>
      <c r="D798" s="47">
        <v>200000</v>
      </c>
      <c r="E798" s="364">
        <v>115922.59</v>
      </c>
      <c r="F798" s="364"/>
      <c r="G798" s="47">
        <f t="shared" si="87"/>
        <v>57.961295</v>
      </c>
      <c r="H798" s="47">
        <f t="shared" si="88"/>
        <v>57.961295</v>
      </c>
      <c r="I798" s="47">
        <f t="shared" si="89"/>
        <v>243.94094286370839</v>
      </c>
      <c r="J798" s="34">
        <v>47520.76</v>
      </c>
    </row>
    <row r="799" spans="1:11" ht="12.75" customHeight="1" x14ac:dyDescent="0.2">
      <c r="A799" s="422"/>
      <c r="B799" s="415" t="s">
        <v>895</v>
      </c>
      <c r="C799" s="47">
        <v>1500000</v>
      </c>
      <c r="D799" s="47">
        <f>1500000-600000</f>
        <v>900000</v>
      </c>
      <c r="E799" s="24">
        <v>502068.44</v>
      </c>
      <c r="F799" s="24"/>
      <c r="G799" s="47">
        <f t="shared" si="87"/>
        <v>33.471229333333333</v>
      </c>
      <c r="H799" s="47">
        <f t="shared" si="88"/>
        <v>55.785382222222225</v>
      </c>
      <c r="I799" s="47">
        <f t="shared" si="89"/>
        <v>46.201381503541931</v>
      </c>
      <c r="J799" s="34">
        <v>1086695.73</v>
      </c>
      <c r="K799" s="134"/>
    </row>
    <row r="800" spans="1:11" ht="12.75" customHeight="1" x14ac:dyDescent="0.2">
      <c r="A800" s="422"/>
      <c r="B800" s="415" t="s">
        <v>896</v>
      </c>
      <c r="C800" s="47">
        <v>50000</v>
      </c>
      <c r="D800" s="47">
        <f>50000-50000</f>
        <v>0</v>
      </c>
      <c r="E800" s="453">
        <v>0</v>
      </c>
      <c r="F800" s="453"/>
      <c r="G800" s="47">
        <f t="shared" si="87"/>
        <v>0</v>
      </c>
      <c r="H800" s="47">
        <v>0</v>
      </c>
      <c r="I800" s="47">
        <v>0</v>
      </c>
      <c r="J800" s="19">
        <v>0</v>
      </c>
    </row>
    <row r="801" spans="1:10" ht="12.75" customHeight="1" x14ac:dyDescent="0.2">
      <c r="A801" s="422"/>
      <c r="B801" s="415" t="s">
        <v>897</v>
      </c>
      <c r="C801" s="47">
        <v>1000000</v>
      </c>
      <c r="D801" s="47">
        <v>1000000</v>
      </c>
      <c r="E801" s="47">
        <v>514211.81</v>
      </c>
      <c r="F801" s="47"/>
      <c r="G801" s="47">
        <f t="shared" si="87"/>
        <v>51.421181000000004</v>
      </c>
      <c r="H801" s="47">
        <f t="shared" si="88"/>
        <v>51.421181000000004</v>
      </c>
      <c r="I801" s="47">
        <f t="shared" si="89"/>
        <v>1919.8096885813147</v>
      </c>
      <c r="J801" s="19">
        <v>26784.52</v>
      </c>
    </row>
    <row r="802" spans="1:10" s="21" customFormat="1" ht="12.75" customHeight="1" x14ac:dyDescent="0.2">
      <c r="A802" s="411">
        <v>3613</v>
      </c>
      <c r="B802" s="454" t="s">
        <v>579</v>
      </c>
      <c r="C802" s="106">
        <f>C803+C813+C814+C815+C820+C831+C832</f>
        <v>21692000</v>
      </c>
      <c r="D802" s="106">
        <f>D803+D813+D814+D815+D820+D831+D832</f>
        <v>20886698.850000001</v>
      </c>
      <c r="E802" s="114">
        <v>15065765.970000001</v>
      </c>
      <c r="F802" s="70">
        <f>SUM(E803,E813:E815,E820,E831,E844:E849)</f>
        <v>16395205.969999997</v>
      </c>
      <c r="G802" s="431">
        <f t="shared" si="87"/>
        <v>69.453097777982663</v>
      </c>
      <c r="H802" s="431">
        <f t="shared" si="88"/>
        <v>72.130910098318381</v>
      </c>
      <c r="I802" s="431">
        <f t="shared" si="89"/>
        <v>84.871305554844625</v>
      </c>
      <c r="J802" s="34">
        <v>17751306.960000001</v>
      </c>
    </row>
    <row r="803" spans="1:10" s="432" customFormat="1" ht="12.75" customHeight="1" x14ac:dyDescent="0.2">
      <c r="A803" s="455"/>
      <c r="B803" s="456" t="s">
        <v>898</v>
      </c>
      <c r="C803" s="457">
        <f>SUM(C804:C812)</f>
        <v>6131000</v>
      </c>
      <c r="D803" s="457">
        <f>SUM(D804:D812)</f>
        <v>6597794.8499999996</v>
      </c>
      <c r="E803" s="70">
        <v>5494237.5300000003</v>
      </c>
      <c r="F803" s="70">
        <f>SUM(E804:E812)</f>
        <v>5494237.5299999993</v>
      </c>
      <c r="G803" s="47">
        <f t="shared" si="87"/>
        <v>89.614052030663842</v>
      </c>
      <c r="H803" s="47">
        <f t="shared" si="88"/>
        <v>83.273846109355773</v>
      </c>
      <c r="I803" s="47">
        <f t="shared" si="89"/>
        <v>89.63093279102668</v>
      </c>
      <c r="J803" s="34">
        <v>6129845.3099999996</v>
      </c>
    </row>
    <row r="804" spans="1:10" ht="25.5" x14ac:dyDescent="0.2">
      <c r="A804" s="458"/>
      <c r="B804" s="415" t="s">
        <v>899</v>
      </c>
      <c r="C804" s="47">
        <v>550000</v>
      </c>
      <c r="D804" s="47">
        <f>550000-550000</f>
        <v>0</v>
      </c>
      <c r="E804" s="70">
        <v>0</v>
      </c>
      <c r="F804" s="70"/>
      <c r="G804" s="47">
        <f t="shared" si="87"/>
        <v>0</v>
      </c>
      <c r="H804" s="47">
        <v>0</v>
      </c>
      <c r="I804" s="47">
        <v>0</v>
      </c>
      <c r="J804" s="19">
        <v>0</v>
      </c>
    </row>
    <row r="805" spans="1:10" ht="25.5" x14ac:dyDescent="0.2">
      <c r="A805" s="459"/>
      <c r="B805" s="415" t="s">
        <v>900</v>
      </c>
      <c r="C805" s="351">
        <v>300000</v>
      </c>
      <c r="D805" s="351">
        <f>300000-300000</f>
        <v>0</v>
      </c>
      <c r="E805" s="70">
        <v>0</v>
      </c>
      <c r="F805" s="70"/>
      <c r="G805" s="47">
        <f t="shared" si="87"/>
        <v>0</v>
      </c>
      <c r="H805" s="47">
        <v>0</v>
      </c>
      <c r="I805" s="47">
        <v>0</v>
      </c>
      <c r="J805" s="19">
        <v>0</v>
      </c>
    </row>
    <row r="806" spans="1:10" customFormat="1" ht="12.75" customHeight="1" x14ac:dyDescent="0.2">
      <c r="A806" s="411"/>
      <c r="B806" s="415" t="s">
        <v>901</v>
      </c>
      <c r="C806" s="460">
        <v>500000</v>
      </c>
      <c r="D806" s="460">
        <f>500000-500000</f>
        <v>0</v>
      </c>
      <c r="E806" s="70">
        <v>0</v>
      </c>
      <c r="F806" s="70"/>
      <c r="G806" s="47">
        <f t="shared" si="87"/>
        <v>0</v>
      </c>
      <c r="H806" s="47">
        <v>0</v>
      </c>
      <c r="I806" s="47">
        <v>0</v>
      </c>
      <c r="J806" s="34">
        <v>0</v>
      </c>
    </row>
    <row r="807" spans="1:10" x14ac:dyDescent="0.2">
      <c r="A807" s="411"/>
      <c r="B807" s="461" t="s">
        <v>902</v>
      </c>
      <c r="C807" s="423">
        <v>521000</v>
      </c>
      <c r="D807" s="423">
        <f>521000-71000-96075</f>
        <v>353925</v>
      </c>
      <c r="E807" s="70">
        <v>353925</v>
      </c>
      <c r="F807" s="70"/>
      <c r="G807" s="47">
        <f t="shared" si="87"/>
        <v>67.931861804222649</v>
      </c>
      <c r="H807" s="47">
        <f t="shared" si="88"/>
        <v>100</v>
      </c>
      <c r="I807" s="47">
        <v>0</v>
      </c>
      <c r="J807" s="34">
        <v>0</v>
      </c>
    </row>
    <row r="808" spans="1:10" ht="12.75" customHeight="1" x14ac:dyDescent="0.2">
      <c r="A808" s="411"/>
      <c r="B808" s="462" t="s">
        <v>903</v>
      </c>
      <c r="C808" s="47">
        <v>2500000</v>
      </c>
      <c r="D808" s="47">
        <f>2500000-2500000+243869.85</f>
        <v>243869.85</v>
      </c>
      <c r="E808" s="47">
        <v>69500.259999999995</v>
      </c>
      <c r="F808" s="47"/>
      <c r="G808" s="47">
        <f t="shared" ref="G808:G871" si="90">E808/C808*100</f>
        <v>2.7800104000000001</v>
      </c>
      <c r="H808" s="47">
        <v>0</v>
      </c>
      <c r="I808" s="47">
        <v>0</v>
      </c>
      <c r="J808" s="34">
        <v>0</v>
      </c>
    </row>
    <row r="809" spans="1:10" ht="12.75" customHeight="1" x14ac:dyDescent="0.2">
      <c r="A809" s="458"/>
      <c r="B809" s="461" t="s">
        <v>904</v>
      </c>
      <c r="C809" s="47">
        <v>400000</v>
      </c>
      <c r="D809" s="47">
        <f>400000-400000+243869.85-243869.85</f>
        <v>0</v>
      </c>
      <c r="E809" s="47">
        <v>0</v>
      </c>
      <c r="F809" s="47"/>
      <c r="G809" s="47">
        <f t="shared" si="90"/>
        <v>0</v>
      </c>
      <c r="H809" s="47">
        <v>0</v>
      </c>
      <c r="I809" s="47">
        <f t="shared" ref="I809:I872" si="91">E809/J809*100</f>
        <v>0</v>
      </c>
      <c r="J809" s="34">
        <v>7986</v>
      </c>
    </row>
    <row r="810" spans="1:10" ht="12.75" customHeight="1" x14ac:dyDescent="0.2">
      <c r="A810" s="458"/>
      <c r="B810" s="462" t="s">
        <v>905</v>
      </c>
      <c r="C810" s="47">
        <v>1000000</v>
      </c>
      <c r="D810" s="47">
        <v>1000000</v>
      </c>
      <c r="E810" s="70">
        <v>107800</v>
      </c>
      <c r="F810" s="70"/>
      <c r="G810" s="47">
        <f t="shared" si="90"/>
        <v>10.780000000000001</v>
      </c>
      <c r="H810" s="47">
        <f t="shared" ref="H810:H873" si="92">E810/D810*100</f>
        <v>10.780000000000001</v>
      </c>
      <c r="I810" s="47">
        <v>0</v>
      </c>
      <c r="J810" s="34">
        <v>0</v>
      </c>
    </row>
    <row r="811" spans="1:10" ht="12.75" customHeight="1" x14ac:dyDescent="0.2">
      <c r="A811" s="458"/>
      <c r="B811" s="169" t="s">
        <v>906</v>
      </c>
      <c r="C811" s="47">
        <v>0</v>
      </c>
      <c r="D811" s="47">
        <v>5000000</v>
      </c>
      <c r="E811" s="70">
        <v>4963012.2699999996</v>
      </c>
      <c r="F811" s="70"/>
      <c r="G811" s="47">
        <v>0</v>
      </c>
      <c r="H811" s="47">
        <f t="shared" si="92"/>
        <v>99.260245399999988</v>
      </c>
      <c r="I811" s="47">
        <f t="shared" si="91"/>
        <v>81.070341846846532</v>
      </c>
      <c r="J811" s="34">
        <v>6121859.3099999996</v>
      </c>
    </row>
    <row r="812" spans="1:10" ht="12.75" customHeight="1" x14ac:dyDescent="0.2">
      <c r="A812" s="458"/>
      <c r="B812" s="462" t="s">
        <v>907</v>
      </c>
      <c r="C812" s="47">
        <v>360000</v>
      </c>
      <c r="D812" s="47">
        <f>360000-360000</f>
        <v>0</v>
      </c>
      <c r="E812" s="70">
        <v>0</v>
      </c>
      <c r="F812" s="70"/>
      <c r="G812" s="47">
        <f t="shared" si="90"/>
        <v>0</v>
      </c>
      <c r="H812" s="47">
        <v>0</v>
      </c>
      <c r="I812" s="47">
        <v>0</v>
      </c>
      <c r="J812" s="34">
        <v>0</v>
      </c>
    </row>
    <row r="813" spans="1:10" ht="12.75" customHeight="1" x14ac:dyDescent="0.2">
      <c r="A813" s="458"/>
      <c r="B813" s="463" t="s">
        <v>908</v>
      </c>
      <c r="C813" s="70">
        <v>30000</v>
      </c>
      <c r="D813" s="70">
        <f>30000+200000</f>
        <v>230000</v>
      </c>
      <c r="E813" s="70">
        <v>200442.55</v>
      </c>
      <c r="F813" s="70"/>
      <c r="G813" s="47">
        <f t="shared" si="90"/>
        <v>668.14183333333335</v>
      </c>
      <c r="H813" s="47">
        <f t="shared" si="92"/>
        <v>87.148934782608691</v>
      </c>
      <c r="I813" s="47">
        <v>0</v>
      </c>
      <c r="J813" s="34">
        <v>12279.08</v>
      </c>
    </row>
    <row r="814" spans="1:10" ht="12.75" customHeight="1" x14ac:dyDescent="0.2">
      <c r="A814" s="458"/>
      <c r="B814" s="463" t="s">
        <v>909</v>
      </c>
      <c r="C814" s="47">
        <v>80000</v>
      </c>
      <c r="D814" s="47">
        <f>80000</f>
        <v>80000</v>
      </c>
      <c r="E814" s="70">
        <v>9175.7999999999993</v>
      </c>
      <c r="F814" s="70"/>
      <c r="G814" s="47">
        <f t="shared" si="90"/>
        <v>11.469749999999999</v>
      </c>
      <c r="H814" s="47">
        <f t="shared" si="92"/>
        <v>11.469749999999999</v>
      </c>
      <c r="I814" s="47">
        <f t="shared" si="91"/>
        <v>14.467902740651986</v>
      </c>
      <c r="J814" s="34">
        <v>63421.77</v>
      </c>
    </row>
    <row r="815" spans="1:10" ht="12.75" customHeight="1" x14ac:dyDescent="0.2">
      <c r="A815" s="459"/>
      <c r="B815" s="463" t="s">
        <v>910</v>
      </c>
      <c r="C815" s="47">
        <f>SUM(C816:C819)</f>
        <v>4900000</v>
      </c>
      <c r="D815" s="47">
        <f>SUM(D816:D819)</f>
        <v>4950000</v>
      </c>
      <c r="E815" s="70">
        <v>3323958.41</v>
      </c>
      <c r="F815" s="70"/>
      <c r="G815" s="47">
        <f t="shared" si="90"/>
        <v>67.835885918367339</v>
      </c>
      <c r="H815" s="47">
        <f t="shared" si="92"/>
        <v>67.150674949494942</v>
      </c>
      <c r="I815" s="47">
        <f t="shared" si="91"/>
        <v>111.94824452044207</v>
      </c>
      <c r="J815" s="34">
        <v>2969192.08</v>
      </c>
    </row>
    <row r="816" spans="1:10" ht="12.75" customHeight="1" x14ac:dyDescent="0.2">
      <c r="A816" s="459"/>
      <c r="B816" s="463" t="s">
        <v>911</v>
      </c>
      <c r="C816" s="47">
        <v>800000</v>
      </c>
      <c r="D816" s="47">
        <f>800000+300000</f>
        <v>1100000</v>
      </c>
      <c r="E816" s="430">
        <v>827953.41</v>
      </c>
      <c r="F816" s="430"/>
      <c r="G816" s="47">
        <f t="shared" si="90"/>
        <v>103.49417625000001</v>
      </c>
      <c r="H816" s="47">
        <f t="shared" si="92"/>
        <v>75.268491818181829</v>
      </c>
      <c r="I816" s="47">
        <f t="shared" si="91"/>
        <v>136.50889746803625</v>
      </c>
      <c r="J816" s="34">
        <v>606519.74</v>
      </c>
    </row>
    <row r="817" spans="1:10" ht="12.75" customHeight="1" x14ac:dyDescent="0.2">
      <c r="A817" s="459"/>
      <c r="B817" s="463" t="s">
        <v>893</v>
      </c>
      <c r="C817" s="47">
        <v>1300000</v>
      </c>
      <c r="D817" s="47">
        <f>1300000-300000</f>
        <v>1000000</v>
      </c>
      <c r="E817" s="70">
        <v>524722.31000000006</v>
      </c>
      <c r="F817" s="70"/>
      <c r="G817" s="47">
        <f t="shared" si="90"/>
        <v>40.363254615384619</v>
      </c>
      <c r="H817" s="47">
        <f t="shared" si="92"/>
        <v>52.472231000000001</v>
      </c>
      <c r="I817" s="47">
        <f t="shared" si="91"/>
        <v>87.569700022528181</v>
      </c>
      <c r="J817" s="34">
        <v>599205.32999999996</v>
      </c>
    </row>
    <row r="818" spans="1:10" ht="12.75" customHeight="1" x14ac:dyDescent="0.2">
      <c r="A818" s="411"/>
      <c r="B818" s="448" t="s">
        <v>894</v>
      </c>
      <c r="C818" s="351">
        <v>1100000</v>
      </c>
      <c r="D818" s="351">
        <v>1100000</v>
      </c>
      <c r="E818" s="70">
        <v>612056.31000000006</v>
      </c>
      <c r="F818" s="70"/>
      <c r="G818" s="47">
        <f t="shared" si="90"/>
        <v>55.641482727272731</v>
      </c>
      <c r="H818" s="47">
        <f t="shared" si="92"/>
        <v>55.641482727272731</v>
      </c>
      <c r="I818" s="47">
        <f t="shared" si="91"/>
        <v>70.896728086890548</v>
      </c>
      <c r="J818" s="34">
        <v>863306.85</v>
      </c>
    </row>
    <row r="819" spans="1:10" ht="12.75" customHeight="1" x14ac:dyDescent="0.2">
      <c r="A819" s="411"/>
      <c r="B819" s="448" t="s">
        <v>912</v>
      </c>
      <c r="C819" s="351">
        <v>1700000</v>
      </c>
      <c r="D819" s="351">
        <f>1700000-350000+400000</f>
        <v>1750000</v>
      </c>
      <c r="E819" s="104">
        <v>1359226.38</v>
      </c>
      <c r="F819" s="104"/>
      <c r="G819" s="47">
        <f t="shared" si="90"/>
        <v>79.954492941176468</v>
      </c>
      <c r="H819" s="47">
        <f t="shared" si="92"/>
        <v>77.670078857142855</v>
      </c>
      <c r="I819" s="47">
        <f t="shared" si="91"/>
        <v>150.99828235010978</v>
      </c>
      <c r="J819" s="34">
        <v>900160.16</v>
      </c>
    </row>
    <row r="820" spans="1:10" ht="12.75" customHeight="1" x14ac:dyDescent="0.2">
      <c r="A820" s="411"/>
      <c r="B820" s="456" t="s">
        <v>913</v>
      </c>
      <c r="C820" s="351">
        <f>SUM(C821:C830)</f>
        <v>4165000</v>
      </c>
      <c r="D820" s="351">
        <f>SUM(D821:D830)</f>
        <v>3710871</v>
      </c>
      <c r="E820" s="427">
        <v>3079667.38</v>
      </c>
      <c r="F820" s="464"/>
      <c r="G820" s="47">
        <f t="shared" si="90"/>
        <v>73.941593757503</v>
      </c>
      <c r="H820" s="47">
        <f t="shared" si="92"/>
        <v>82.990418691460846</v>
      </c>
      <c r="I820" s="47">
        <f t="shared" si="91"/>
        <v>114.30418637383461</v>
      </c>
      <c r="J820" s="19">
        <v>2694273.48</v>
      </c>
    </row>
    <row r="821" spans="1:10" ht="12.75" customHeight="1" x14ac:dyDescent="0.2">
      <c r="A821" s="411"/>
      <c r="B821" s="448" t="s">
        <v>914</v>
      </c>
      <c r="C821" s="70">
        <v>500000</v>
      </c>
      <c r="D821" s="70">
        <f>500000-100000-400000</f>
        <v>0</v>
      </c>
      <c r="E821" s="465">
        <v>0</v>
      </c>
      <c r="F821" s="133"/>
      <c r="G821" s="47">
        <f t="shared" si="90"/>
        <v>0</v>
      </c>
      <c r="H821" s="47">
        <v>0</v>
      </c>
      <c r="I821" s="47">
        <v>0</v>
      </c>
      <c r="J821" s="34">
        <v>0</v>
      </c>
    </row>
    <row r="822" spans="1:10" ht="12.75" customHeight="1" x14ac:dyDescent="0.2">
      <c r="A822" s="411"/>
      <c r="B822" s="441" t="s">
        <v>915</v>
      </c>
      <c r="C822" s="70">
        <v>1300000</v>
      </c>
      <c r="D822" s="70">
        <f>1300000-100000-400000+400000</f>
        <v>1200000</v>
      </c>
      <c r="E822" s="465">
        <v>804660.88</v>
      </c>
      <c r="F822" s="133"/>
      <c r="G822" s="47">
        <f t="shared" si="90"/>
        <v>61.896990769230761</v>
      </c>
      <c r="H822" s="47">
        <f t="shared" si="92"/>
        <v>67.05507333333334</v>
      </c>
      <c r="I822" s="47">
        <f t="shared" si="91"/>
        <v>94.03039791691333</v>
      </c>
      <c r="J822" s="19">
        <v>855745.48</v>
      </c>
    </row>
    <row r="823" spans="1:10" ht="12.75" customHeight="1" x14ac:dyDescent="0.2">
      <c r="A823" s="411"/>
      <c r="B823" s="169" t="s">
        <v>916</v>
      </c>
      <c r="C823" s="70">
        <v>100000</v>
      </c>
      <c r="D823" s="70">
        <f>100000+(-100000+200000)</f>
        <v>200000</v>
      </c>
      <c r="E823" s="465">
        <v>193600</v>
      </c>
      <c r="F823" s="24"/>
      <c r="G823" s="47">
        <f t="shared" si="90"/>
        <v>193.6</v>
      </c>
      <c r="H823" s="47">
        <f t="shared" si="92"/>
        <v>96.8</v>
      </c>
      <c r="I823" s="47">
        <v>0</v>
      </c>
      <c r="J823" s="34">
        <v>0</v>
      </c>
    </row>
    <row r="824" spans="1:10" ht="12.75" customHeight="1" x14ac:dyDescent="0.2">
      <c r="A824" s="411"/>
      <c r="B824" s="448" t="s">
        <v>917</v>
      </c>
      <c r="C824" s="70">
        <v>200000</v>
      </c>
      <c r="D824" s="70">
        <v>200000</v>
      </c>
      <c r="E824" s="465">
        <v>90150</v>
      </c>
      <c r="F824" s="133"/>
      <c r="G824" s="47">
        <f t="shared" si="90"/>
        <v>45.074999999999996</v>
      </c>
      <c r="H824" s="47">
        <f t="shared" si="92"/>
        <v>45.074999999999996</v>
      </c>
      <c r="I824" s="47">
        <f t="shared" si="91"/>
        <v>652.40990013026487</v>
      </c>
      <c r="J824" s="19">
        <v>13818</v>
      </c>
    </row>
    <row r="825" spans="1:10" ht="12.75" customHeight="1" x14ac:dyDescent="0.2">
      <c r="A825" s="411"/>
      <c r="B825" s="462" t="s">
        <v>918</v>
      </c>
      <c r="C825" s="70">
        <v>0</v>
      </c>
      <c r="D825" s="70">
        <f>(300000+30000+20000)</f>
        <v>350000</v>
      </c>
      <c r="E825" s="465">
        <v>291605</v>
      </c>
      <c r="F825" s="133"/>
      <c r="G825" s="47">
        <v>0</v>
      </c>
      <c r="H825" s="47">
        <f t="shared" si="92"/>
        <v>83.315714285714279</v>
      </c>
      <c r="I825" s="47">
        <f t="shared" si="91"/>
        <v>91.272027293499008</v>
      </c>
      <c r="J825" s="34">
        <v>319490</v>
      </c>
    </row>
    <row r="826" spans="1:10" ht="12.75" customHeight="1" x14ac:dyDescent="0.2">
      <c r="A826" s="411"/>
      <c r="B826" s="441" t="s">
        <v>919</v>
      </c>
      <c r="C826" s="70">
        <v>1715000</v>
      </c>
      <c r="D826" s="70">
        <f>1715000-54129</f>
        <v>1660871</v>
      </c>
      <c r="E826" s="465">
        <v>1660871</v>
      </c>
      <c r="F826" s="133"/>
      <c r="G826" s="47">
        <f t="shared" si="90"/>
        <v>96.84379008746356</v>
      </c>
      <c r="H826" s="47">
        <f t="shared" si="92"/>
        <v>100</v>
      </c>
      <c r="I826" s="47">
        <f t="shared" si="91"/>
        <v>111.41550949218488</v>
      </c>
      <c r="J826" s="34">
        <v>1490700</v>
      </c>
    </row>
    <row r="827" spans="1:10" ht="12.75" customHeight="1" x14ac:dyDescent="0.2">
      <c r="A827" s="411"/>
      <c r="B827" s="462" t="s">
        <v>920</v>
      </c>
      <c r="C827" s="70">
        <v>100000</v>
      </c>
      <c r="D827" s="70">
        <f>100000-100000</f>
        <v>0</v>
      </c>
      <c r="E827" s="465">
        <v>0</v>
      </c>
      <c r="F827" s="133"/>
      <c r="G827" s="47">
        <f t="shared" si="90"/>
        <v>0</v>
      </c>
      <c r="H827" s="47">
        <v>0</v>
      </c>
      <c r="I827" s="47">
        <v>0</v>
      </c>
      <c r="J827" s="34">
        <v>0</v>
      </c>
    </row>
    <row r="828" spans="1:10" ht="12.75" customHeight="1" x14ac:dyDescent="0.2">
      <c r="A828" s="411"/>
      <c r="B828" s="169" t="s">
        <v>921</v>
      </c>
      <c r="C828" s="70">
        <v>15000</v>
      </c>
      <c r="D828" s="70">
        <v>15000</v>
      </c>
      <c r="E828" s="465">
        <v>14520</v>
      </c>
      <c r="F828" s="133"/>
      <c r="G828" s="47">
        <f t="shared" si="90"/>
        <v>96.8</v>
      </c>
      <c r="H828" s="47">
        <f t="shared" si="92"/>
        <v>96.8</v>
      </c>
      <c r="I828" s="47">
        <f t="shared" si="91"/>
        <v>200</v>
      </c>
      <c r="J828" s="19">
        <v>7260</v>
      </c>
    </row>
    <row r="829" spans="1:10" ht="12.75" customHeight="1" x14ac:dyDescent="0.2">
      <c r="A829" s="411"/>
      <c r="B829" s="462" t="s">
        <v>922</v>
      </c>
      <c r="C829" s="70">
        <v>200000</v>
      </c>
      <c r="D829" s="70">
        <f>200000-150000</f>
        <v>50000</v>
      </c>
      <c r="E829" s="465">
        <v>0</v>
      </c>
      <c r="F829" s="133"/>
      <c r="G829" s="47">
        <f t="shared" si="90"/>
        <v>0</v>
      </c>
      <c r="H829" s="47">
        <f t="shared" si="92"/>
        <v>0</v>
      </c>
      <c r="I829" s="47">
        <v>0</v>
      </c>
      <c r="J829" s="34">
        <v>0</v>
      </c>
    </row>
    <row r="830" spans="1:10" ht="12.75" customHeight="1" x14ac:dyDescent="0.2">
      <c r="A830" s="426"/>
      <c r="B830" s="448" t="s">
        <v>923</v>
      </c>
      <c r="C830" s="70">
        <v>35000</v>
      </c>
      <c r="D830" s="70">
        <v>35000</v>
      </c>
      <c r="E830" s="465">
        <v>24260.5</v>
      </c>
      <c r="F830" s="133"/>
      <c r="G830" s="47">
        <f t="shared" si="90"/>
        <v>69.315714285714279</v>
      </c>
      <c r="H830" s="47">
        <f t="shared" si="92"/>
        <v>69.315714285714279</v>
      </c>
      <c r="I830" s="47">
        <f t="shared" si="91"/>
        <v>167.08333333333334</v>
      </c>
      <c r="J830" s="19">
        <v>14520</v>
      </c>
    </row>
    <row r="831" spans="1:10" ht="12.75" customHeight="1" x14ac:dyDescent="0.2">
      <c r="A831" s="459"/>
      <c r="B831" s="463" t="s">
        <v>924</v>
      </c>
      <c r="C831" s="430">
        <f>C833+C837+C844</f>
        <v>6000000</v>
      </c>
      <c r="D831" s="430">
        <f>D833+D837+D844</f>
        <v>5150000</v>
      </c>
      <c r="E831" s="465">
        <v>2790251.3</v>
      </c>
      <c r="F831" s="24"/>
      <c r="G831" s="47">
        <f t="shared" si="90"/>
        <v>46.504188333333332</v>
      </c>
      <c r="H831" s="47">
        <f t="shared" si="92"/>
        <v>54.179636893203877</v>
      </c>
      <c r="I831" s="47">
        <f t="shared" si="91"/>
        <v>48.191054262279707</v>
      </c>
      <c r="J831" s="34">
        <v>5789977.71</v>
      </c>
    </row>
    <row r="832" spans="1:10" ht="12.75" customHeight="1" x14ac:dyDescent="0.2">
      <c r="A832" s="459"/>
      <c r="B832" s="415" t="s">
        <v>925</v>
      </c>
      <c r="C832" s="70">
        <v>386000</v>
      </c>
      <c r="D832" s="70">
        <f>386000-217967</f>
        <v>168033</v>
      </c>
      <c r="E832" s="465">
        <v>168033</v>
      </c>
      <c r="F832" s="133"/>
      <c r="G832" s="47">
        <f t="shared" si="90"/>
        <v>43.531865284974089</v>
      </c>
      <c r="H832" s="47">
        <f t="shared" si="92"/>
        <v>100</v>
      </c>
      <c r="I832" s="47">
        <f t="shared" si="91"/>
        <v>345.78939017817618</v>
      </c>
      <c r="J832" s="19">
        <v>48594.03</v>
      </c>
    </row>
    <row r="833" spans="1:10" ht="12.75" customHeight="1" x14ac:dyDescent="0.2">
      <c r="A833" s="459"/>
      <c r="B833" s="412" t="s">
        <v>926</v>
      </c>
      <c r="C833" s="114">
        <f>C834+C835</f>
        <v>2200000</v>
      </c>
      <c r="D833" s="114">
        <f>D834+D835</f>
        <v>2200000</v>
      </c>
      <c r="E833" s="102">
        <v>1235090.5900000001</v>
      </c>
      <c r="F833" s="24">
        <f>SUM(E834:E836)</f>
        <v>1235090.5900000001</v>
      </c>
      <c r="G833" s="106">
        <f t="shared" si="90"/>
        <v>56.140481363636361</v>
      </c>
      <c r="H833" s="106">
        <f t="shared" si="92"/>
        <v>56.140481363636361</v>
      </c>
      <c r="I833" s="106">
        <f t="shared" si="91"/>
        <v>37.401334567064914</v>
      </c>
      <c r="J833" s="34">
        <v>3302263.42</v>
      </c>
    </row>
    <row r="834" spans="1:10" ht="12.75" customHeight="1" x14ac:dyDescent="0.2">
      <c r="A834" s="459"/>
      <c r="B834" s="462" t="s">
        <v>927</v>
      </c>
      <c r="C834" s="70">
        <v>2000000</v>
      </c>
      <c r="D834" s="70">
        <v>2000000</v>
      </c>
      <c r="E834" s="465">
        <v>1235090.5900000001</v>
      </c>
      <c r="F834" s="133"/>
      <c r="G834" s="47">
        <f t="shared" si="90"/>
        <v>61.754529499999997</v>
      </c>
      <c r="H834" s="47">
        <f t="shared" si="92"/>
        <v>61.754529499999997</v>
      </c>
      <c r="I834" s="47">
        <f t="shared" si="91"/>
        <v>130.06417506487017</v>
      </c>
      <c r="J834" s="19">
        <v>949600.91</v>
      </c>
    </row>
    <row r="835" spans="1:10" ht="12.75" customHeight="1" x14ac:dyDescent="0.2">
      <c r="A835" s="411"/>
      <c r="B835" s="169" t="s">
        <v>928</v>
      </c>
      <c r="C835" s="70">
        <f>SUM(C836:C836)</f>
        <v>200000</v>
      </c>
      <c r="D835" s="70">
        <f>SUM(D836:D836)</f>
        <v>200000</v>
      </c>
      <c r="E835" s="465">
        <v>0</v>
      </c>
      <c r="F835" s="133"/>
      <c r="G835" s="47">
        <f t="shared" si="90"/>
        <v>0</v>
      </c>
      <c r="H835" s="47">
        <f t="shared" si="92"/>
        <v>0</v>
      </c>
      <c r="I835" s="47">
        <f t="shared" si="91"/>
        <v>0</v>
      </c>
      <c r="J835" s="34">
        <v>2352662.5099999998</v>
      </c>
    </row>
    <row r="836" spans="1:10" ht="12.75" customHeight="1" x14ac:dyDescent="0.2">
      <c r="A836" s="411"/>
      <c r="B836" s="169" t="s">
        <v>929</v>
      </c>
      <c r="C836" s="70">
        <v>200000</v>
      </c>
      <c r="D836" s="70">
        <v>200000</v>
      </c>
      <c r="E836" s="465">
        <v>0</v>
      </c>
      <c r="F836" s="133"/>
      <c r="G836" s="47">
        <f t="shared" si="90"/>
        <v>0</v>
      </c>
      <c r="H836" s="47">
        <f t="shared" si="92"/>
        <v>0</v>
      </c>
      <c r="I836" s="47">
        <v>0</v>
      </c>
      <c r="J836" s="19">
        <v>0</v>
      </c>
    </row>
    <row r="837" spans="1:10" s="432" customFormat="1" ht="12.75" customHeight="1" x14ac:dyDescent="0.2">
      <c r="A837" s="459"/>
      <c r="B837" s="466" t="s">
        <v>930</v>
      </c>
      <c r="C837" s="439">
        <f>SUM(C838:C839)</f>
        <v>1800000</v>
      </c>
      <c r="D837" s="439">
        <f>SUM(D838:D839)</f>
        <v>1150000</v>
      </c>
      <c r="E837" s="467">
        <v>808425.21</v>
      </c>
      <c r="F837" s="467"/>
      <c r="G837" s="106">
        <f t="shared" si="90"/>
        <v>44.912511666666667</v>
      </c>
      <c r="H837" s="106">
        <f t="shared" si="92"/>
        <v>70.297844347826086</v>
      </c>
      <c r="I837" s="106">
        <f t="shared" si="91"/>
        <v>41.605800952362287</v>
      </c>
      <c r="J837" s="34">
        <v>1943058.88</v>
      </c>
    </row>
    <row r="838" spans="1:10" s="432" customFormat="1" ht="12.75" customHeight="1" x14ac:dyDescent="0.2">
      <c r="A838" s="459"/>
      <c r="B838" s="468" t="s">
        <v>931</v>
      </c>
      <c r="C838" s="351">
        <v>1000000</v>
      </c>
      <c r="D838" s="351">
        <v>1000000</v>
      </c>
      <c r="E838" s="465">
        <v>733704.21</v>
      </c>
      <c r="F838" s="24"/>
      <c r="G838" s="47">
        <f t="shared" si="90"/>
        <v>73.370420999999993</v>
      </c>
      <c r="H838" s="47">
        <f t="shared" si="92"/>
        <v>73.370420999999993</v>
      </c>
      <c r="I838" s="47">
        <f t="shared" si="91"/>
        <v>66.974358999637204</v>
      </c>
      <c r="J838" s="19">
        <v>1095500.1599999999</v>
      </c>
    </row>
    <row r="839" spans="1:10" s="432" customFormat="1" ht="12.75" customHeight="1" x14ac:dyDescent="0.2">
      <c r="A839" s="459"/>
      <c r="B839" s="468" t="s">
        <v>932</v>
      </c>
      <c r="C839" s="351">
        <f>SUM(C840:C843)</f>
        <v>800000</v>
      </c>
      <c r="D839" s="351">
        <f>SUM(D840:D843)</f>
        <v>150000</v>
      </c>
      <c r="E839" s="465">
        <v>72721</v>
      </c>
      <c r="F839" s="133"/>
      <c r="G839" s="47">
        <f t="shared" si="90"/>
        <v>9.0901250000000005</v>
      </c>
      <c r="H839" s="47">
        <f t="shared" si="92"/>
        <v>48.480666666666664</v>
      </c>
      <c r="I839" s="47">
        <f t="shared" si="91"/>
        <v>8.5800544887320616</v>
      </c>
      <c r="J839" s="19">
        <v>847558.72</v>
      </c>
    </row>
    <row r="840" spans="1:10" ht="12.75" customHeight="1" x14ac:dyDescent="0.2">
      <c r="A840" s="459"/>
      <c r="B840" s="415" t="s">
        <v>933</v>
      </c>
      <c r="C840" s="423">
        <v>0</v>
      </c>
      <c r="D840" s="423">
        <v>100000</v>
      </c>
      <c r="E840" s="465">
        <v>72721</v>
      </c>
      <c r="F840" s="133"/>
      <c r="G840" s="47">
        <v>0</v>
      </c>
      <c r="H840" s="47">
        <f t="shared" si="92"/>
        <v>72.721000000000004</v>
      </c>
      <c r="I840" s="47">
        <f t="shared" si="91"/>
        <v>44.029304029304029</v>
      </c>
      <c r="J840" s="19">
        <v>165165</v>
      </c>
    </row>
    <row r="841" spans="1:10" ht="12.75" customHeight="1" x14ac:dyDescent="0.2">
      <c r="A841" s="459"/>
      <c r="B841" s="450" t="s">
        <v>934</v>
      </c>
      <c r="C841" s="351">
        <v>300000</v>
      </c>
      <c r="D841" s="351">
        <f>300000-250000</f>
        <v>50000</v>
      </c>
      <c r="E841" s="465">
        <v>0</v>
      </c>
      <c r="F841" s="133"/>
      <c r="G841" s="47">
        <f t="shared" si="90"/>
        <v>0</v>
      </c>
      <c r="H841" s="47">
        <f t="shared" si="92"/>
        <v>0</v>
      </c>
      <c r="I841" s="47">
        <v>0</v>
      </c>
      <c r="J841" s="34">
        <v>62066.95</v>
      </c>
    </row>
    <row r="842" spans="1:10" s="432" customFormat="1" ht="12.75" customHeight="1" x14ac:dyDescent="0.2">
      <c r="A842" s="459"/>
      <c r="B842" s="450" t="s">
        <v>935</v>
      </c>
      <c r="C842" s="351">
        <v>300000</v>
      </c>
      <c r="D842" s="351">
        <f>300000-300000</f>
        <v>0</v>
      </c>
      <c r="E842" s="465">
        <v>0</v>
      </c>
      <c r="F842" s="133"/>
      <c r="G842" s="47">
        <f t="shared" si="90"/>
        <v>0</v>
      </c>
      <c r="H842" s="47">
        <v>0</v>
      </c>
      <c r="I842" s="47">
        <v>0</v>
      </c>
      <c r="J842" s="19">
        <v>0</v>
      </c>
    </row>
    <row r="843" spans="1:10" s="432" customFormat="1" ht="12.75" customHeight="1" x14ac:dyDescent="0.2">
      <c r="A843" s="459"/>
      <c r="B843" s="415" t="s">
        <v>936</v>
      </c>
      <c r="C843" s="351">
        <v>200000</v>
      </c>
      <c r="D843" s="351">
        <f>200000-200000</f>
        <v>0</v>
      </c>
      <c r="E843" s="465">
        <v>0</v>
      </c>
      <c r="F843" s="133"/>
      <c r="G843" s="47">
        <f t="shared" si="90"/>
        <v>0</v>
      </c>
      <c r="H843" s="47">
        <v>0</v>
      </c>
      <c r="I843" s="47">
        <v>0</v>
      </c>
      <c r="J843" s="34">
        <v>0</v>
      </c>
    </row>
    <row r="844" spans="1:10" s="432" customFormat="1" ht="12.75" customHeight="1" x14ac:dyDescent="0.2">
      <c r="A844" s="459"/>
      <c r="B844" s="450" t="s">
        <v>937</v>
      </c>
      <c r="C844" s="70">
        <f>SUM(C845:C849)</f>
        <v>2000000</v>
      </c>
      <c r="D844" s="70">
        <f>SUM(D845:D849)</f>
        <v>1800000</v>
      </c>
      <c r="E844" s="24">
        <v>748735.5</v>
      </c>
      <c r="F844" s="133"/>
      <c r="G844" s="47">
        <f t="shared" si="90"/>
        <v>37.436774999999997</v>
      </c>
      <c r="H844" s="47">
        <f t="shared" si="92"/>
        <v>41.59641666666667</v>
      </c>
      <c r="I844" s="47">
        <f t="shared" si="91"/>
        <v>137.46957916015191</v>
      </c>
      <c r="J844" s="19">
        <v>544655.41</v>
      </c>
    </row>
    <row r="845" spans="1:10" s="432" customFormat="1" ht="12.75" customHeight="1" x14ac:dyDescent="0.2">
      <c r="A845" s="459"/>
      <c r="B845" s="450" t="s">
        <v>938</v>
      </c>
      <c r="C845" s="47">
        <v>500000</v>
      </c>
      <c r="D845" s="47">
        <v>500000</v>
      </c>
      <c r="E845" s="24">
        <v>101058.2</v>
      </c>
      <c r="F845" s="24"/>
      <c r="G845" s="47">
        <f t="shared" si="90"/>
        <v>20.211639999999999</v>
      </c>
      <c r="H845" s="47">
        <f t="shared" si="92"/>
        <v>20.211639999999999</v>
      </c>
      <c r="I845" s="47">
        <f t="shared" si="91"/>
        <v>244.69297820823246</v>
      </c>
      <c r="J845" s="34">
        <v>41300</v>
      </c>
    </row>
    <row r="846" spans="1:10" s="432" customFormat="1" ht="12.75" customHeight="1" x14ac:dyDescent="0.2">
      <c r="A846" s="459"/>
      <c r="B846" s="450" t="s">
        <v>939</v>
      </c>
      <c r="C846" s="70">
        <v>300000</v>
      </c>
      <c r="D846" s="70">
        <v>300000</v>
      </c>
      <c r="E846" s="465">
        <v>297563.2</v>
      </c>
      <c r="F846" s="24"/>
      <c r="G846" s="47">
        <f t="shared" si="90"/>
        <v>99.187733333333341</v>
      </c>
      <c r="H846" s="47">
        <f t="shared" si="92"/>
        <v>99.187733333333341</v>
      </c>
      <c r="I846" s="47">
        <f t="shared" si="91"/>
        <v>123.18782111297153</v>
      </c>
      <c r="J846" s="19">
        <v>241552.45</v>
      </c>
    </row>
    <row r="847" spans="1:10" s="432" customFormat="1" ht="12.75" customHeight="1" x14ac:dyDescent="0.2">
      <c r="A847" s="459"/>
      <c r="B847" s="449" t="s">
        <v>940</v>
      </c>
      <c r="C847" s="47">
        <v>500000</v>
      </c>
      <c r="D847" s="47">
        <v>500000</v>
      </c>
      <c r="E847" s="465">
        <v>0</v>
      </c>
      <c r="F847" s="133"/>
      <c r="G847" s="47">
        <f t="shared" si="90"/>
        <v>0</v>
      </c>
      <c r="H847" s="47">
        <f t="shared" si="92"/>
        <v>0</v>
      </c>
      <c r="I847" s="47">
        <v>0</v>
      </c>
      <c r="J847" s="34">
        <v>0</v>
      </c>
    </row>
    <row r="848" spans="1:10" s="432" customFormat="1" ht="12.75" customHeight="1" x14ac:dyDescent="0.2">
      <c r="A848" s="459"/>
      <c r="B848" s="462" t="s">
        <v>941</v>
      </c>
      <c r="C848" s="181">
        <v>200000</v>
      </c>
      <c r="D848" s="181">
        <v>200000</v>
      </c>
      <c r="E848" s="465">
        <v>69479.31</v>
      </c>
      <c r="F848" s="133"/>
      <c r="G848" s="47">
        <f t="shared" si="90"/>
        <v>34.739654999999999</v>
      </c>
      <c r="H848" s="47">
        <f t="shared" si="92"/>
        <v>34.739654999999999</v>
      </c>
      <c r="I848" s="47">
        <v>0</v>
      </c>
      <c r="J848" s="19">
        <v>0</v>
      </c>
    </row>
    <row r="849" spans="1:10" s="432" customFormat="1" ht="12.75" customHeight="1" x14ac:dyDescent="0.2">
      <c r="A849" s="411"/>
      <c r="B849" s="448" t="s">
        <v>942</v>
      </c>
      <c r="C849" s="423">
        <v>500000</v>
      </c>
      <c r="D849" s="423">
        <f>500000-200000</f>
        <v>300000</v>
      </c>
      <c r="E849" s="24">
        <v>280636.78999999998</v>
      </c>
      <c r="F849" s="24"/>
      <c r="G849" s="47">
        <f t="shared" si="90"/>
        <v>56.127357999999994</v>
      </c>
      <c r="H849" s="47">
        <f t="shared" si="92"/>
        <v>93.545596666666668</v>
      </c>
      <c r="I849" s="47">
        <f t="shared" si="91"/>
        <v>107.19389498117209</v>
      </c>
      <c r="J849" s="34">
        <v>261802.96</v>
      </c>
    </row>
    <row r="850" spans="1:10" s="471" customFormat="1" ht="12.75" customHeight="1" x14ac:dyDescent="0.2">
      <c r="A850" s="411">
        <v>3634</v>
      </c>
      <c r="B850" s="469" t="s">
        <v>943</v>
      </c>
      <c r="C850" s="470">
        <f>SUM(C851:C855)</f>
        <v>16600000</v>
      </c>
      <c r="D850" s="470">
        <f>SUM(D851:D855)</f>
        <v>4700000</v>
      </c>
      <c r="E850" s="102">
        <v>3966795.9</v>
      </c>
      <c r="F850" s="24">
        <f>SUM(E851:E854,E855)</f>
        <v>3966795.8999999994</v>
      </c>
      <c r="G850" s="106">
        <f t="shared" si="90"/>
        <v>23.896360843373493</v>
      </c>
      <c r="H850" s="106">
        <f t="shared" si="92"/>
        <v>84.399912765957438</v>
      </c>
      <c r="I850" s="106">
        <f t="shared" si="91"/>
        <v>30.47910974119608</v>
      </c>
      <c r="J850" s="19">
        <v>13014802.380000001</v>
      </c>
    </row>
    <row r="851" spans="1:10" s="432" customFormat="1" ht="12.75" customHeight="1" x14ac:dyDescent="0.2">
      <c r="A851" s="411"/>
      <c r="B851" s="450" t="s">
        <v>944</v>
      </c>
      <c r="C851" s="423">
        <v>200000</v>
      </c>
      <c r="D851" s="423">
        <f>200000+55000</f>
        <v>255000</v>
      </c>
      <c r="E851" s="465">
        <v>249996.89</v>
      </c>
      <c r="F851" s="133"/>
      <c r="G851" s="47">
        <f t="shared" si="90"/>
        <v>124.99844500000002</v>
      </c>
      <c r="H851" s="47">
        <f t="shared" si="92"/>
        <v>98.037996078431377</v>
      </c>
      <c r="I851" s="47">
        <f t="shared" si="91"/>
        <v>246.32703592074202</v>
      </c>
      <c r="J851" s="19">
        <v>101489.83</v>
      </c>
    </row>
    <row r="852" spans="1:10" s="432" customFormat="1" ht="12.75" customHeight="1" x14ac:dyDescent="0.2">
      <c r="A852" s="411"/>
      <c r="B852" s="450" t="s">
        <v>945</v>
      </c>
      <c r="C852" s="423">
        <v>500000</v>
      </c>
      <c r="D852" s="423">
        <f>500000+20000-20000</f>
        <v>500000</v>
      </c>
      <c r="E852" s="465">
        <v>499820</v>
      </c>
      <c r="F852" s="24"/>
      <c r="G852" s="47">
        <f t="shared" si="90"/>
        <v>99.963999999999999</v>
      </c>
      <c r="H852" s="47">
        <f t="shared" si="92"/>
        <v>99.963999999999999</v>
      </c>
      <c r="I852" s="47">
        <f t="shared" si="91"/>
        <v>97.455508846073315</v>
      </c>
      <c r="J852" s="34">
        <v>512869.93</v>
      </c>
    </row>
    <row r="853" spans="1:10" ht="12.75" customHeight="1" x14ac:dyDescent="0.2">
      <c r="A853" s="411"/>
      <c r="B853" s="450" t="s">
        <v>946</v>
      </c>
      <c r="C853" s="351">
        <v>600000</v>
      </c>
      <c r="D853" s="351">
        <f>600000-20000+20000</f>
        <v>600000</v>
      </c>
      <c r="E853" s="465">
        <v>558155.05000000005</v>
      </c>
      <c r="F853" s="327"/>
      <c r="G853" s="47">
        <f t="shared" si="90"/>
        <v>93.025841666666679</v>
      </c>
      <c r="H853" s="47">
        <f t="shared" si="92"/>
        <v>93.025841666666679</v>
      </c>
      <c r="I853" s="47">
        <f t="shared" si="91"/>
        <v>98.213048965769573</v>
      </c>
      <c r="J853" s="19">
        <v>568310.48</v>
      </c>
    </row>
    <row r="854" spans="1:10" ht="12.75" customHeight="1" x14ac:dyDescent="0.2">
      <c r="A854" s="458"/>
      <c r="B854" s="450" t="s">
        <v>947</v>
      </c>
      <c r="C854" s="351">
        <v>500000</v>
      </c>
      <c r="D854" s="351">
        <f>500000-20000</f>
        <v>480000</v>
      </c>
      <c r="E854" s="465">
        <v>437439.2</v>
      </c>
      <c r="F854" s="327"/>
      <c r="G854" s="47">
        <f t="shared" si="90"/>
        <v>87.487840000000006</v>
      </c>
      <c r="H854" s="47">
        <f t="shared" si="92"/>
        <v>91.133166666666668</v>
      </c>
      <c r="I854" s="47">
        <f t="shared" si="91"/>
        <v>44.57695769187135</v>
      </c>
      <c r="J854" s="19">
        <v>981312.37</v>
      </c>
    </row>
    <row r="855" spans="1:10" ht="12.75" customHeight="1" x14ac:dyDescent="0.2">
      <c r="A855" s="458"/>
      <c r="B855" s="472" t="s">
        <v>948</v>
      </c>
      <c r="C855" s="423">
        <f>SUM(C856:C862)</f>
        <v>14800000</v>
      </c>
      <c r="D855" s="423">
        <f>SUM(D856:D862)</f>
        <v>2865000</v>
      </c>
      <c r="E855" s="70">
        <v>2221384.7599999998</v>
      </c>
      <c r="F855" s="70">
        <f>SUM(E856:E862)</f>
        <v>2221384.7599999998</v>
      </c>
      <c r="G855" s="47">
        <f t="shared" si="90"/>
        <v>15.009356486486485</v>
      </c>
      <c r="H855" s="47">
        <f t="shared" si="92"/>
        <v>77.535244677137854</v>
      </c>
      <c r="I855" s="47">
        <f t="shared" si="91"/>
        <v>20.472045495969009</v>
      </c>
      <c r="J855" s="34">
        <v>10850819.77</v>
      </c>
    </row>
    <row r="856" spans="1:10" ht="12.75" customHeight="1" x14ac:dyDescent="0.2">
      <c r="A856" s="422"/>
      <c r="B856" s="462" t="s">
        <v>949</v>
      </c>
      <c r="C856" s="70">
        <v>600000</v>
      </c>
      <c r="D856" s="70">
        <f>600000+1100000+1100000</f>
        <v>2800000</v>
      </c>
      <c r="E856" s="70">
        <v>2221384.7599999998</v>
      </c>
      <c r="F856" s="70"/>
      <c r="G856" s="47">
        <f t="shared" si="90"/>
        <v>370.23079333333328</v>
      </c>
      <c r="H856" s="47">
        <f t="shared" si="92"/>
        <v>79.335169999999991</v>
      </c>
      <c r="I856" s="47">
        <v>0</v>
      </c>
      <c r="J856" s="34">
        <v>0</v>
      </c>
    </row>
    <row r="857" spans="1:10" customFormat="1" ht="12.75" customHeight="1" x14ac:dyDescent="0.2">
      <c r="A857" s="422"/>
      <c r="B857" s="462" t="s">
        <v>950</v>
      </c>
      <c r="C857" s="70">
        <v>3400000</v>
      </c>
      <c r="D857" s="70">
        <f>3400000-3400000</f>
        <v>0</v>
      </c>
      <c r="E857" s="70">
        <v>0</v>
      </c>
      <c r="F857" s="70"/>
      <c r="G857" s="47">
        <f t="shared" si="90"/>
        <v>0</v>
      </c>
      <c r="H857" s="47">
        <v>0</v>
      </c>
      <c r="I857" s="47">
        <v>0</v>
      </c>
      <c r="J857" s="34">
        <v>0</v>
      </c>
    </row>
    <row r="858" spans="1:10" customFormat="1" ht="12.75" customHeight="1" x14ac:dyDescent="0.2">
      <c r="A858" s="422"/>
      <c r="B858" s="462" t="s">
        <v>951</v>
      </c>
      <c r="C858" s="47">
        <v>2600000</v>
      </c>
      <c r="D858" s="47">
        <f t="shared" ref="D858:D860" si="93">2600000-2600000</f>
        <v>0</v>
      </c>
      <c r="E858" s="24">
        <v>0</v>
      </c>
      <c r="F858" s="133"/>
      <c r="G858" s="47">
        <f t="shared" si="90"/>
        <v>0</v>
      </c>
      <c r="H858" s="47">
        <v>0</v>
      </c>
      <c r="I858" s="47">
        <v>0</v>
      </c>
      <c r="J858" s="34">
        <v>0</v>
      </c>
    </row>
    <row r="859" spans="1:10" customFormat="1" ht="12.75" customHeight="1" x14ac:dyDescent="0.2">
      <c r="A859" s="422"/>
      <c r="B859" s="462" t="s">
        <v>952</v>
      </c>
      <c r="C859" s="70">
        <v>2600000</v>
      </c>
      <c r="D859" s="70">
        <f t="shared" si="93"/>
        <v>0</v>
      </c>
      <c r="E859" s="70">
        <v>0</v>
      </c>
      <c r="F859" s="133"/>
      <c r="G859" s="47">
        <f t="shared" si="90"/>
        <v>0</v>
      </c>
      <c r="H859" s="47">
        <v>0</v>
      </c>
      <c r="I859" s="47">
        <v>0</v>
      </c>
      <c r="J859" s="19">
        <v>0</v>
      </c>
    </row>
    <row r="860" spans="1:10" customFormat="1" ht="12.75" customHeight="1" x14ac:dyDescent="0.2">
      <c r="A860" s="422"/>
      <c r="B860" s="473" t="s">
        <v>953</v>
      </c>
      <c r="C860" s="423">
        <v>2600000</v>
      </c>
      <c r="D860" s="423">
        <f t="shared" si="93"/>
        <v>0</v>
      </c>
      <c r="E860" s="24">
        <v>0</v>
      </c>
      <c r="F860" s="133"/>
      <c r="G860" s="47">
        <f t="shared" si="90"/>
        <v>0</v>
      </c>
      <c r="H860" s="47">
        <v>0</v>
      </c>
      <c r="I860" s="47">
        <v>0</v>
      </c>
      <c r="J860" s="34">
        <v>0</v>
      </c>
    </row>
    <row r="861" spans="1:10" customFormat="1" ht="12.75" customHeight="1" x14ac:dyDescent="0.2">
      <c r="A861" s="422"/>
      <c r="B861" s="474" t="s">
        <v>954</v>
      </c>
      <c r="C861" s="351">
        <v>1200000</v>
      </c>
      <c r="D861" s="351">
        <f>1200000-1135000</f>
        <v>65000</v>
      </c>
      <c r="E861" s="24">
        <v>0</v>
      </c>
      <c r="F861" s="133"/>
      <c r="G861" s="47">
        <f t="shared" si="90"/>
        <v>0</v>
      </c>
      <c r="H861" s="47">
        <f t="shared" si="92"/>
        <v>0</v>
      </c>
      <c r="I861" s="47">
        <v>0</v>
      </c>
      <c r="J861" s="19">
        <v>538402</v>
      </c>
    </row>
    <row r="862" spans="1:10" customFormat="1" ht="12.75" customHeight="1" x14ac:dyDescent="0.2">
      <c r="A862" s="422"/>
      <c r="B862" s="474" t="s">
        <v>955</v>
      </c>
      <c r="C862" s="423">
        <v>1800000</v>
      </c>
      <c r="D862" s="423">
        <f>1800000-1800000</f>
        <v>0</v>
      </c>
      <c r="E862" s="24">
        <v>0</v>
      </c>
      <c r="F862" s="133"/>
      <c r="G862" s="47">
        <f t="shared" si="90"/>
        <v>0</v>
      </c>
      <c r="H862" s="47">
        <v>0</v>
      </c>
      <c r="I862" s="47">
        <v>0</v>
      </c>
      <c r="J862" s="19">
        <v>0</v>
      </c>
    </row>
    <row r="863" spans="1:10" customFormat="1" ht="12.75" customHeight="1" x14ac:dyDescent="0.2">
      <c r="A863" s="411">
        <v>4351</v>
      </c>
      <c r="B863" s="475" t="s">
        <v>956</v>
      </c>
      <c r="C863" s="413">
        <v>10000</v>
      </c>
      <c r="D863" s="413">
        <v>10000</v>
      </c>
      <c r="E863" s="102">
        <v>7042.24</v>
      </c>
      <c r="F863" s="22"/>
      <c r="G863" s="106">
        <f t="shared" si="90"/>
        <v>70.422399999999996</v>
      </c>
      <c r="H863" s="106">
        <f t="shared" si="92"/>
        <v>70.422399999999996</v>
      </c>
      <c r="I863" s="106">
        <f t="shared" si="91"/>
        <v>140.81016070046769</v>
      </c>
      <c r="J863" s="34">
        <v>5001.2299999999996</v>
      </c>
    </row>
    <row r="864" spans="1:10" customFormat="1" ht="12.75" customHeight="1" x14ac:dyDescent="0.2">
      <c r="A864" s="411">
        <v>4374</v>
      </c>
      <c r="B864" s="475" t="s">
        <v>777</v>
      </c>
      <c r="C864" s="413">
        <f>C865</f>
        <v>1300000</v>
      </c>
      <c r="D864" s="413">
        <f>D865</f>
        <v>1300000</v>
      </c>
      <c r="E864" s="102">
        <v>768633.06</v>
      </c>
      <c r="F864" s="327"/>
      <c r="G864" s="106">
        <f t="shared" si="90"/>
        <v>59.125619999999998</v>
      </c>
      <c r="H864" s="106">
        <f t="shared" si="92"/>
        <v>59.125619999999998</v>
      </c>
      <c r="I864" s="106">
        <f t="shared" si="91"/>
        <v>446.39770629049298</v>
      </c>
      <c r="J864" s="34">
        <v>172185.71</v>
      </c>
    </row>
    <row r="865" spans="1:256" customFormat="1" ht="12.75" customHeight="1" x14ac:dyDescent="0.2">
      <c r="A865" s="422"/>
      <c r="B865" s="474" t="s">
        <v>957</v>
      </c>
      <c r="C865" s="351">
        <f>SUM(C866,C867)</f>
        <v>1300000</v>
      </c>
      <c r="D865" s="351">
        <f>SUM(D866,D867)</f>
        <v>1300000</v>
      </c>
      <c r="E865" s="24">
        <v>738633.06</v>
      </c>
      <c r="F865" s="24">
        <f>SUM(E866:E867)</f>
        <v>768633.05999999994</v>
      </c>
      <c r="G865" s="47">
        <f t="shared" si="90"/>
        <v>56.817927692307698</v>
      </c>
      <c r="H865" s="47">
        <f t="shared" si="92"/>
        <v>56.817927692307698</v>
      </c>
      <c r="I865" s="47">
        <f t="shared" si="91"/>
        <v>428.97465765306544</v>
      </c>
      <c r="J865" s="34">
        <v>172185.71</v>
      </c>
    </row>
    <row r="866" spans="1:256" customFormat="1" ht="12.75" customHeight="1" x14ac:dyDescent="0.2">
      <c r="A866" s="422"/>
      <c r="B866" s="474" t="s">
        <v>958</v>
      </c>
      <c r="C866" s="423">
        <v>600000</v>
      </c>
      <c r="D866" s="423">
        <f>600000+300000</f>
        <v>900000</v>
      </c>
      <c r="E866" s="24">
        <v>550908.85</v>
      </c>
      <c r="F866" s="24"/>
      <c r="G866" s="47">
        <f t="shared" si="90"/>
        <v>91.818141666666662</v>
      </c>
      <c r="H866" s="47">
        <f t="shared" si="92"/>
        <v>61.212094444444446</v>
      </c>
      <c r="I866" s="47">
        <v>0</v>
      </c>
      <c r="J866" s="34">
        <v>0</v>
      </c>
    </row>
    <row r="867" spans="1:256" customFormat="1" ht="12.75" customHeight="1" x14ac:dyDescent="0.2">
      <c r="A867" s="411"/>
      <c r="B867" s="441" t="s">
        <v>959</v>
      </c>
      <c r="C867" s="70">
        <v>700000</v>
      </c>
      <c r="D867" s="70">
        <f>700000-300000</f>
        <v>400000</v>
      </c>
      <c r="E867" s="465">
        <v>217724.21</v>
      </c>
      <c r="F867" s="327"/>
      <c r="G867" s="47">
        <f t="shared" si="90"/>
        <v>31.103458571428572</v>
      </c>
      <c r="H867" s="47">
        <f t="shared" si="92"/>
        <v>54.4310525</v>
      </c>
      <c r="I867" s="47">
        <f t="shared" si="91"/>
        <v>343.55907825317183</v>
      </c>
      <c r="J867" s="34">
        <v>63373.15</v>
      </c>
    </row>
    <row r="868" spans="1:256" customFormat="1" ht="12.75" customHeight="1" x14ac:dyDescent="0.2">
      <c r="A868" s="411">
        <v>6171</v>
      </c>
      <c r="B868" s="476" t="s">
        <v>960</v>
      </c>
      <c r="C868" s="106">
        <f>SUM(C869:C873)</f>
        <v>2620000</v>
      </c>
      <c r="D868" s="106">
        <f>SUM(D869:D873)</f>
        <v>1520000</v>
      </c>
      <c r="E868" s="102">
        <v>651281.79</v>
      </c>
      <c r="F868" s="24">
        <f>SUM(E869:E873)</f>
        <v>651281.79</v>
      </c>
      <c r="G868" s="106">
        <f t="shared" si="90"/>
        <v>24.858083587786261</v>
      </c>
      <c r="H868" s="106">
        <f t="shared" si="92"/>
        <v>42.847486184210531</v>
      </c>
      <c r="I868" s="106">
        <f t="shared" si="91"/>
        <v>41.270803033910234</v>
      </c>
      <c r="J868" s="34">
        <v>1578069.1</v>
      </c>
    </row>
    <row r="869" spans="1:256" customFormat="1" ht="12.75" customHeight="1" x14ac:dyDescent="0.2">
      <c r="A869" s="411"/>
      <c r="B869" s="441" t="s">
        <v>961</v>
      </c>
      <c r="C869" s="70">
        <v>50000</v>
      </c>
      <c r="D869" s="70">
        <v>50000</v>
      </c>
      <c r="E869" s="24">
        <v>45865</v>
      </c>
      <c r="F869" s="24"/>
      <c r="G869" s="47">
        <f t="shared" si="90"/>
        <v>91.73</v>
      </c>
      <c r="H869" s="47">
        <f t="shared" si="92"/>
        <v>91.73</v>
      </c>
      <c r="I869" s="47">
        <v>0</v>
      </c>
      <c r="J869" s="34">
        <v>0</v>
      </c>
    </row>
    <row r="870" spans="1:256" ht="12.75" customHeight="1" x14ac:dyDescent="0.2">
      <c r="A870" s="477"/>
      <c r="B870" s="478" t="s">
        <v>962</v>
      </c>
      <c r="C870" s="70">
        <v>820000</v>
      </c>
      <c r="D870" s="70">
        <v>820000</v>
      </c>
      <c r="E870" s="24">
        <v>0</v>
      </c>
      <c r="F870" s="24"/>
      <c r="G870" s="47">
        <f t="shared" si="90"/>
        <v>0</v>
      </c>
      <c r="H870" s="47">
        <f t="shared" si="92"/>
        <v>0</v>
      </c>
      <c r="I870" s="47">
        <v>0</v>
      </c>
      <c r="J870" s="34">
        <v>0</v>
      </c>
    </row>
    <row r="871" spans="1:256" ht="12.75" customHeight="1" x14ac:dyDescent="0.2">
      <c r="A871" s="411"/>
      <c r="B871" s="441" t="s">
        <v>963</v>
      </c>
      <c r="C871" s="351">
        <v>250000</v>
      </c>
      <c r="D871" s="351">
        <v>250000</v>
      </c>
      <c r="E871" s="465">
        <v>250000</v>
      </c>
      <c r="F871" s="327"/>
      <c r="G871" s="47">
        <f t="shared" si="90"/>
        <v>100</v>
      </c>
      <c r="H871" s="47">
        <f t="shared" si="92"/>
        <v>100</v>
      </c>
      <c r="I871" s="47">
        <f t="shared" si="91"/>
        <v>17.750902438129053</v>
      </c>
      <c r="J871" s="34">
        <v>1408379.1</v>
      </c>
    </row>
    <row r="872" spans="1:256" ht="12.75" customHeight="1" x14ac:dyDescent="0.2">
      <c r="A872" s="422"/>
      <c r="B872" s="441" t="s">
        <v>964</v>
      </c>
      <c r="C872" s="70">
        <v>300000</v>
      </c>
      <c r="D872" s="70">
        <v>300000</v>
      </c>
      <c r="E872" s="145">
        <v>300000</v>
      </c>
      <c r="F872" s="327"/>
      <c r="G872" s="47">
        <f t="shared" ref="G872:G906" si="94">E872/C872*100</f>
        <v>100</v>
      </c>
      <c r="H872" s="47">
        <f t="shared" si="92"/>
        <v>100</v>
      </c>
      <c r="I872" s="47">
        <f t="shared" si="91"/>
        <v>1403.6401066766482</v>
      </c>
      <c r="J872" s="19">
        <v>21373</v>
      </c>
    </row>
    <row r="873" spans="1:256" ht="12.75" customHeight="1" x14ac:dyDescent="0.2">
      <c r="A873" s="422"/>
      <c r="B873" s="441" t="s">
        <v>965</v>
      </c>
      <c r="C873" s="70">
        <v>1200000</v>
      </c>
      <c r="D873" s="70">
        <f>1200000-1100000</f>
        <v>100000</v>
      </c>
      <c r="E873" s="465">
        <v>55416.79</v>
      </c>
      <c r="F873" s="327"/>
      <c r="G873" s="47">
        <f t="shared" si="94"/>
        <v>4.6180658333333335</v>
      </c>
      <c r="H873" s="47">
        <f t="shared" si="92"/>
        <v>55.416790000000006</v>
      </c>
      <c r="I873" s="47">
        <v>0</v>
      </c>
      <c r="J873" s="19">
        <v>0</v>
      </c>
    </row>
    <row r="874" spans="1:256" ht="12.75" customHeight="1" thickBot="1" x14ac:dyDescent="0.25">
      <c r="A874" s="479"/>
      <c r="B874" s="480"/>
      <c r="C874" s="170"/>
      <c r="D874" s="170"/>
      <c r="E874" s="481"/>
      <c r="F874" s="481"/>
      <c r="G874" s="160"/>
      <c r="H874" s="160"/>
      <c r="I874" s="160"/>
      <c r="J874" s="19"/>
    </row>
    <row r="875" spans="1:256" s="74" customFormat="1" ht="21" thickBot="1" x14ac:dyDescent="0.35">
      <c r="A875" s="295"/>
      <c r="B875" s="482" t="s">
        <v>966</v>
      </c>
      <c r="C875" s="195">
        <f>SUM(C876+C880+C883)</f>
        <v>1345000</v>
      </c>
      <c r="D875" s="195">
        <f>SUM(D876+D880+D883)</f>
        <v>1345000</v>
      </c>
      <c r="E875" s="79">
        <v>663000</v>
      </c>
      <c r="F875" s="78">
        <f>SUM(E876,E880,E883)</f>
        <v>663000</v>
      </c>
      <c r="G875" s="195">
        <f t="shared" si="94"/>
        <v>49.293680297397771</v>
      </c>
      <c r="H875" s="195">
        <f t="shared" ref="H875:H909" si="95">E875/D875*100</f>
        <v>49.293680297397771</v>
      </c>
      <c r="I875" s="195">
        <v>0</v>
      </c>
      <c r="J875" s="19">
        <v>102730</v>
      </c>
      <c r="IP875" s="21"/>
      <c r="IQ875" s="21"/>
      <c r="IR875" s="21"/>
      <c r="IS875" s="21"/>
      <c r="IT875" s="21"/>
      <c r="IU875" s="21"/>
      <c r="IV875" s="21"/>
    </row>
    <row r="876" spans="1:256" s="74" customFormat="1" x14ac:dyDescent="0.2">
      <c r="A876" s="92">
        <v>2169</v>
      </c>
      <c r="B876" s="93" t="s">
        <v>967</v>
      </c>
      <c r="C876" s="106">
        <f>SUM(C877:C879)</f>
        <v>250000</v>
      </c>
      <c r="D876" s="106">
        <f>SUM(D877:D879)</f>
        <v>148700</v>
      </c>
      <c r="E876" s="102">
        <v>0</v>
      </c>
      <c r="F876" s="24">
        <f>SUM(E877:E879)</f>
        <v>0</v>
      </c>
      <c r="G876" s="106">
        <f t="shared" si="94"/>
        <v>0</v>
      </c>
      <c r="H876" s="106">
        <f t="shared" si="95"/>
        <v>0</v>
      </c>
      <c r="I876" s="106">
        <v>0</v>
      </c>
      <c r="J876" s="34">
        <v>5930</v>
      </c>
      <c r="IP876" s="21"/>
      <c r="IQ876" s="21"/>
      <c r="IR876" s="21"/>
      <c r="IS876" s="21"/>
      <c r="IT876" s="21"/>
      <c r="IU876" s="21"/>
      <c r="IV876" s="21"/>
    </row>
    <row r="877" spans="1:256" s="74" customFormat="1" x14ac:dyDescent="0.2">
      <c r="A877" s="92"/>
      <c r="B877" s="156" t="s">
        <v>968</v>
      </c>
      <c r="C877" s="47">
        <v>47000</v>
      </c>
      <c r="D877" s="47">
        <v>47000</v>
      </c>
      <c r="E877" s="24">
        <v>0</v>
      </c>
      <c r="F877" s="133"/>
      <c r="G877" s="47">
        <f t="shared" si="94"/>
        <v>0</v>
      </c>
      <c r="H877" s="47">
        <f t="shared" si="95"/>
        <v>0</v>
      </c>
      <c r="I877" s="47">
        <v>0</v>
      </c>
      <c r="J877" s="34">
        <v>5930</v>
      </c>
      <c r="IP877" s="21"/>
      <c r="IQ877" s="21"/>
      <c r="IR877" s="21"/>
      <c r="IS877" s="21"/>
      <c r="IT877" s="21"/>
      <c r="IU877" s="21"/>
      <c r="IV877" s="21"/>
    </row>
    <row r="878" spans="1:256" s="74" customFormat="1" x14ac:dyDescent="0.2">
      <c r="A878" s="92"/>
      <c r="B878" s="156" t="s">
        <v>969</v>
      </c>
      <c r="C878" s="47">
        <v>200000</v>
      </c>
      <c r="D878" s="47">
        <f>200000-65000-36300</f>
        <v>98700</v>
      </c>
      <c r="E878" s="24">
        <v>0</v>
      </c>
      <c r="F878" s="133"/>
      <c r="G878" s="47">
        <f t="shared" si="94"/>
        <v>0</v>
      </c>
      <c r="H878" s="47">
        <f t="shared" si="95"/>
        <v>0</v>
      </c>
      <c r="I878" s="47">
        <v>0</v>
      </c>
      <c r="J878" s="34">
        <v>0</v>
      </c>
      <c r="IP878" s="21"/>
      <c r="IQ878" s="21"/>
      <c r="IR878" s="21"/>
      <c r="IS878" s="21"/>
      <c r="IT878" s="21"/>
      <c r="IU878" s="21"/>
      <c r="IV878" s="21"/>
    </row>
    <row r="879" spans="1:256" s="74" customFormat="1" x14ac:dyDescent="0.2">
      <c r="A879" s="92"/>
      <c r="B879" s="156" t="s">
        <v>970</v>
      </c>
      <c r="C879" s="47">
        <v>3000</v>
      </c>
      <c r="D879" s="47">
        <v>3000</v>
      </c>
      <c r="E879" s="24">
        <v>0</v>
      </c>
      <c r="F879" s="133"/>
      <c r="G879" s="47">
        <f t="shared" si="94"/>
        <v>0</v>
      </c>
      <c r="H879" s="47">
        <f t="shared" si="95"/>
        <v>0</v>
      </c>
      <c r="I879" s="47">
        <v>0</v>
      </c>
      <c r="J879" s="34">
        <v>0</v>
      </c>
      <c r="IP879" s="21"/>
      <c r="IQ879" s="21"/>
      <c r="IR879" s="21"/>
      <c r="IS879" s="21"/>
      <c r="IT879" s="21"/>
      <c r="IU879" s="21"/>
      <c r="IV879" s="21"/>
    </row>
    <row r="880" spans="1:256" s="74" customFormat="1" x14ac:dyDescent="0.2">
      <c r="A880" s="97">
        <v>3635</v>
      </c>
      <c r="B880" s="98" t="s">
        <v>971</v>
      </c>
      <c r="C880" s="114">
        <f>SUM(C881:C882)</f>
        <v>500000</v>
      </c>
      <c r="D880" s="114">
        <f>SUM(D881:D882)</f>
        <v>601300</v>
      </c>
      <c r="E880" s="102">
        <v>363000</v>
      </c>
      <c r="F880" s="24">
        <f>SUM(E881:E882)</f>
        <v>363000</v>
      </c>
      <c r="G880" s="106">
        <f t="shared" si="94"/>
        <v>72.599999999999994</v>
      </c>
      <c r="H880" s="106">
        <f t="shared" si="95"/>
        <v>60.369200066522531</v>
      </c>
      <c r="I880" s="106">
        <f t="shared" ref="I880:I914" si="96">E880/J880*100</f>
        <v>375</v>
      </c>
      <c r="J880" s="34">
        <v>96800</v>
      </c>
      <c r="IP880" s="21"/>
      <c r="IQ880" s="21"/>
      <c r="IR880" s="21"/>
      <c r="IS880" s="21"/>
      <c r="IT880" s="21"/>
      <c r="IU880" s="21"/>
      <c r="IV880" s="21"/>
    </row>
    <row r="881" spans="1:256" s="74" customFormat="1" x14ac:dyDescent="0.2">
      <c r="A881" s="112"/>
      <c r="B881" s="111" t="s">
        <v>972</v>
      </c>
      <c r="C881" s="47">
        <v>250000</v>
      </c>
      <c r="D881" s="47">
        <v>250000</v>
      </c>
      <c r="E881" s="24">
        <v>314600</v>
      </c>
      <c r="F881" s="133"/>
      <c r="G881" s="47">
        <f t="shared" si="94"/>
        <v>125.84</v>
      </c>
      <c r="H881" s="47">
        <f t="shared" si="95"/>
        <v>125.84</v>
      </c>
      <c r="I881" s="47">
        <v>0</v>
      </c>
      <c r="J881" s="34">
        <v>0</v>
      </c>
      <c r="IP881" s="21"/>
      <c r="IQ881" s="21"/>
      <c r="IR881" s="21"/>
      <c r="IS881" s="21"/>
      <c r="IT881" s="21"/>
      <c r="IU881" s="21"/>
      <c r="IV881" s="21"/>
    </row>
    <row r="882" spans="1:256" s="74" customFormat="1" ht="13.5" thickBot="1" x14ac:dyDescent="0.25">
      <c r="A882" s="112"/>
      <c r="B882" s="111" t="s">
        <v>973</v>
      </c>
      <c r="C882" s="47">
        <v>250000</v>
      </c>
      <c r="D882" s="47">
        <f>250000+65000+36300</f>
        <v>351300</v>
      </c>
      <c r="E882" s="24">
        <v>48400</v>
      </c>
      <c r="F882" s="133"/>
      <c r="G882" s="47">
        <f t="shared" si="94"/>
        <v>19.36</v>
      </c>
      <c r="H882" s="47">
        <f t="shared" si="95"/>
        <v>13.777398235126673</v>
      </c>
      <c r="I882" s="47">
        <f t="shared" si="96"/>
        <v>50</v>
      </c>
      <c r="J882" s="34">
        <v>96800</v>
      </c>
      <c r="IP882" s="21"/>
      <c r="IQ882" s="21"/>
      <c r="IR882" s="21"/>
      <c r="IS882" s="21"/>
      <c r="IT882" s="21"/>
      <c r="IU882" s="21"/>
      <c r="IV882" s="21"/>
    </row>
    <row r="883" spans="1:256" s="74" customFormat="1" ht="16.5" thickBot="1" x14ac:dyDescent="0.3">
      <c r="A883" s="483"/>
      <c r="B883" s="86" t="s">
        <v>974</v>
      </c>
      <c r="C883" s="128">
        <v>595000</v>
      </c>
      <c r="D883" s="128">
        <v>595000</v>
      </c>
      <c r="E883" s="128">
        <v>300000</v>
      </c>
      <c r="F883" s="128"/>
      <c r="G883" s="128">
        <f t="shared" si="94"/>
        <v>50.420168067226889</v>
      </c>
      <c r="H883" s="128">
        <f t="shared" si="95"/>
        <v>50.420168067226889</v>
      </c>
      <c r="I883" s="128">
        <v>0</v>
      </c>
      <c r="J883" s="34">
        <v>0</v>
      </c>
      <c r="IP883" s="21"/>
      <c r="IQ883" s="21"/>
      <c r="IR883" s="21"/>
      <c r="IS883" s="21"/>
      <c r="IT883" s="21"/>
      <c r="IU883" s="21"/>
      <c r="IV883" s="21"/>
    </row>
    <row r="884" spans="1:256" s="74" customFormat="1" x14ac:dyDescent="0.2">
      <c r="A884" s="387">
        <v>3699</v>
      </c>
      <c r="B884" s="93" t="s">
        <v>975</v>
      </c>
      <c r="C884" s="106">
        <v>595000</v>
      </c>
      <c r="D884" s="106">
        <v>595000</v>
      </c>
      <c r="E884" s="102">
        <v>300000</v>
      </c>
      <c r="F884" s="22"/>
      <c r="G884" s="106">
        <f t="shared" si="94"/>
        <v>50.420168067226889</v>
      </c>
      <c r="H884" s="106">
        <f t="shared" si="95"/>
        <v>50.420168067226889</v>
      </c>
      <c r="I884" s="106">
        <v>0</v>
      </c>
      <c r="J884" s="34">
        <v>0</v>
      </c>
      <c r="IP884" s="21"/>
      <c r="IQ884" s="21"/>
      <c r="IR884" s="21"/>
      <c r="IS884" s="21"/>
      <c r="IT884" s="21"/>
      <c r="IU884" s="21"/>
      <c r="IV884" s="21"/>
    </row>
    <row r="885" spans="1:256" s="487" customFormat="1" ht="13.5" thickBot="1" x14ac:dyDescent="0.25">
      <c r="A885" s="393"/>
      <c r="B885" s="98"/>
      <c r="C885" s="125"/>
      <c r="D885" s="125"/>
      <c r="E885" s="484"/>
      <c r="F885" s="485"/>
      <c r="G885" s="484"/>
      <c r="H885" s="486"/>
      <c r="I885" s="484"/>
      <c r="J885" s="34"/>
      <c r="IP885" s="8"/>
      <c r="IQ885" s="8"/>
      <c r="IR885" s="8"/>
      <c r="IS885" s="8"/>
      <c r="IT885" s="8"/>
      <c r="IU885" s="8"/>
      <c r="IV885" s="8"/>
    </row>
    <row r="886" spans="1:256" s="76" customFormat="1" ht="21" thickBot="1" x14ac:dyDescent="0.35">
      <c r="A886" s="295"/>
      <c r="B886" s="82" t="s">
        <v>39</v>
      </c>
      <c r="C886" s="79">
        <f>SUM(C887:C894,C897,C901)</f>
        <v>40173636.759999998</v>
      </c>
      <c r="D886" s="79">
        <f>SUM(D887:D894,D897,D901)</f>
        <v>123835573.97999999</v>
      </c>
      <c r="E886" s="79">
        <v>160525532.59</v>
      </c>
      <c r="F886" s="78">
        <f>SUM(E887:E894,E897,E901)</f>
        <v>160525532.59</v>
      </c>
      <c r="G886" s="195">
        <f t="shared" si="94"/>
        <v>399.57929014241432</v>
      </c>
      <c r="H886" s="195">
        <f t="shared" si="95"/>
        <v>129.62796346058494</v>
      </c>
      <c r="I886" s="195">
        <f t="shared" si="96"/>
        <v>410.94571259617794</v>
      </c>
      <c r="J886" s="34">
        <v>39062466.810000002</v>
      </c>
    </row>
    <row r="887" spans="1:256" s="489" customFormat="1" ht="36.75" x14ac:dyDescent="0.2">
      <c r="A887" s="488" t="s">
        <v>976</v>
      </c>
      <c r="B887" s="140" t="s">
        <v>977</v>
      </c>
      <c r="C887" s="106">
        <f>1136.76+242500</f>
        <v>243636.76</v>
      </c>
      <c r="D887" s="106">
        <f>1136.76+242500</f>
        <v>243636.76</v>
      </c>
      <c r="E887" s="114">
        <v>243432.51</v>
      </c>
      <c r="F887" s="22"/>
      <c r="G887" s="106">
        <f t="shared" si="94"/>
        <v>99.916166181162481</v>
      </c>
      <c r="H887" s="106">
        <f t="shared" si="95"/>
        <v>99.916166181162481</v>
      </c>
      <c r="I887" s="106">
        <f t="shared" si="96"/>
        <v>98.172386400399347</v>
      </c>
      <c r="J887" s="19">
        <v>247964.34</v>
      </c>
    </row>
    <row r="888" spans="1:256" s="21" customFormat="1" ht="12.75" customHeight="1" x14ac:dyDescent="0.3">
      <c r="A888" s="183">
        <v>3113</v>
      </c>
      <c r="B888" s="98" t="s">
        <v>978</v>
      </c>
      <c r="C888" s="106">
        <v>0</v>
      </c>
      <c r="D888" s="106">
        <f>(9470.13+165778.17)</f>
        <v>175248.30000000002</v>
      </c>
      <c r="E888" s="99">
        <v>175248.3</v>
      </c>
      <c r="F888" s="490"/>
      <c r="G888" s="106">
        <v>0</v>
      </c>
      <c r="H888" s="114">
        <f t="shared" si="95"/>
        <v>99.999999999999986</v>
      </c>
      <c r="I888" s="114">
        <v>0</v>
      </c>
      <c r="J888" s="34">
        <v>0</v>
      </c>
      <c r="K888" s="491"/>
    </row>
    <row r="889" spans="1:256" s="21" customFormat="1" ht="12.75" customHeight="1" x14ac:dyDescent="0.3">
      <c r="A889" s="97">
        <v>3634</v>
      </c>
      <c r="B889" s="98" t="s">
        <v>979</v>
      </c>
      <c r="C889" s="106">
        <v>8000000</v>
      </c>
      <c r="D889" s="106">
        <f>8000000+135516</f>
        <v>8135516</v>
      </c>
      <c r="E889" s="102">
        <v>8135516</v>
      </c>
      <c r="F889" s="22"/>
      <c r="G889" s="106">
        <f t="shared" si="94"/>
        <v>101.69395000000002</v>
      </c>
      <c r="H889" s="106">
        <f t="shared" si="95"/>
        <v>100</v>
      </c>
      <c r="I889" s="106">
        <f t="shared" si="96"/>
        <v>103.39203493374308</v>
      </c>
      <c r="J889" s="34">
        <v>7868610</v>
      </c>
      <c r="N889" s="492"/>
    </row>
    <row r="890" spans="1:256" s="489" customFormat="1" ht="12.75" customHeight="1" x14ac:dyDescent="0.2">
      <c r="A890" s="92">
        <v>3639</v>
      </c>
      <c r="B890" s="93" t="s">
        <v>980</v>
      </c>
      <c r="C890" s="106">
        <v>200000</v>
      </c>
      <c r="D890" s="106">
        <v>200000</v>
      </c>
      <c r="E890" s="102">
        <v>24883</v>
      </c>
      <c r="F890" s="22"/>
      <c r="G890" s="106">
        <f t="shared" si="94"/>
        <v>12.4415</v>
      </c>
      <c r="H890" s="106">
        <f t="shared" si="95"/>
        <v>12.4415</v>
      </c>
      <c r="I890" s="106">
        <f t="shared" si="96"/>
        <v>8.6491202458167358</v>
      </c>
      <c r="J890" s="34">
        <v>287694</v>
      </c>
    </row>
    <row r="891" spans="1:256" ht="24.75" x14ac:dyDescent="0.2">
      <c r="A891" s="97">
        <v>6171</v>
      </c>
      <c r="B891" s="493" t="s">
        <v>981</v>
      </c>
      <c r="C891" s="106">
        <v>100000</v>
      </c>
      <c r="D891" s="106">
        <v>100000</v>
      </c>
      <c r="E891" s="114">
        <f>232393.68-164278.68</f>
        <v>68115</v>
      </c>
      <c r="F891" s="22"/>
      <c r="G891" s="106">
        <f t="shared" si="94"/>
        <v>68.115000000000009</v>
      </c>
      <c r="H891" s="106">
        <f t="shared" si="95"/>
        <v>68.115000000000009</v>
      </c>
      <c r="I891" s="106">
        <f t="shared" si="96"/>
        <v>110.80654606975533</v>
      </c>
      <c r="J891" s="19">
        <v>61472</v>
      </c>
    </row>
    <row r="892" spans="1:256" x14ac:dyDescent="0.2">
      <c r="A892" s="97">
        <v>6221</v>
      </c>
      <c r="B892" s="98" t="s">
        <v>982</v>
      </c>
      <c r="C892" s="106">
        <v>0</v>
      </c>
      <c r="D892" s="106">
        <f>(150000+150000+200000)</f>
        <v>500000</v>
      </c>
      <c r="E892" s="102">
        <v>500000</v>
      </c>
      <c r="F892" s="22"/>
      <c r="G892" s="106">
        <v>0</v>
      </c>
      <c r="H892" s="106">
        <f t="shared" si="95"/>
        <v>100</v>
      </c>
      <c r="I892" s="106">
        <v>0</v>
      </c>
      <c r="J892" s="34">
        <v>0</v>
      </c>
    </row>
    <row r="893" spans="1:256" x14ac:dyDescent="0.2">
      <c r="A893" s="97">
        <v>6310</v>
      </c>
      <c r="B893" s="98" t="s">
        <v>983</v>
      </c>
      <c r="C893" s="106">
        <v>320000</v>
      </c>
      <c r="D893" s="106">
        <f>320000+80000</f>
        <v>400000</v>
      </c>
      <c r="E893" s="102">
        <v>395871.73</v>
      </c>
      <c r="F893" s="22"/>
      <c r="G893" s="106">
        <f t="shared" si="94"/>
        <v>123.70991562499999</v>
      </c>
      <c r="H893" s="106">
        <f t="shared" si="95"/>
        <v>98.967932500000003</v>
      </c>
      <c r="I893" s="106">
        <f t="shared" si="96"/>
        <v>111.03670020799761</v>
      </c>
      <c r="J893" s="34">
        <v>356523.32</v>
      </c>
    </row>
    <row r="894" spans="1:256" x14ac:dyDescent="0.2">
      <c r="A894" s="97">
        <v>6399</v>
      </c>
      <c r="B894" s="98" t="s">
        <v>984</v>
      </c>
      <c r="C894" s="114">
        <f t="shared" ref="C894:D901" si="97">SUM(C895:C896)</f>
        <v>28000000</v>
      </c>
      <c r="D894" s="114">
        <f t="shared" si="97"/>
        <v>50622280</v>
      </c>
      <c r="E894" s="102">
        <v>48701086</v>
      </c>
      <c r="F894" s="102">
        <f>SUM(E895:E896)</f>
        <v>48701086</v>
      </c>
      <c r="G894" s="106">
        <f t="shared" si="94"/>
        <v>173.93244999999999</v>
      </c>
      <c r="H894" s="106">
        <f t="shared" si="95"/>
        <v>96.204844981300724</v>
      </c>
      <c r="I894" s="106">
        <f t="shared" si="96"/>
        <v>165.48038002010662</v>
      </c>
      <c r="J894" s="34">
        <v>29430127</v>
      </c>
    </row>
    <row r="895" spans="1:256" x14ac:dyDescent="0.2">
      <c r="A895" s="112"/>
      <c r="B895" s="111" t="s">
        <v>985</v>
      </c>
      <c r="C895" s="70">
        <v>20000000</v>
      </c>
      <c r="D895" s="70">
        <f>20000000+17662820-17662820+17622280</f>
        <v>37622280</v>
      </c>
      <c r="E895" s="24">
        <v>37622280</v>
      </c>
      <c r="F895" s="133"/>
      <c r="G895" s="47">
        <f t="shared" si="94"/>
        <v>188.1114</v>
      </c>
      <c r="H895" s="47">
        <f t="shared" si="95"/>
        <v>100</v>
      </c>
      <c r="I895" s="47">
        <f t="shared" si="96"/>
        <v>178.8322420410928</v>
      </c>
      <c r="J895" s="34">
        <v>21037750</v>
      </c>
    </row>
    <row r="896" spans="1:256" x14ac:dyDescent="0.2">
      <c r="A896" s="112"/>
      <c r="B896" s="111" t="s">
        <v>986</v>
      </c>
      <c r="C896" s="47">
        <v>8000000</v>
      </c>
      <c r="D896" s="47">
        <f>8000000+5000000</f>
        <v>13000000</v>
      </c>
      <c r="E896" s="24">
        <v>11078806</v>
      </c>
      <c r="F896" s="133"/>
      <c r="G896" s="47">
        <f t="shared" si="94"/>
        <v>138.48507499999999</v>
      </c>
      <c r="H896" s="47">
        <f t="shared" si="95"/>
        <v>85.221584615384614</v>
      </c>
      <c r="I896" s="47">
        <f t="shared" si="96"/>
        <v>132.01034700895823</v>
      </c>
      <c r="J896" s="34">
        <v>8392377</v>
      </c>
    </row>
    <row r="897" spans="1:11" s="21" customFormat="1" ht="12.75" customHeight="1" x14ac:dyDescent="0.3">
      <c r="A897" s="183">
        <v>6402</v>
      </c>
      <c r="B897" s="98" t="s">
        <v>987</v>
      </c>
      <c r="C897" s="114">
        <v>0</v>
      </c>
      <c r="D897" s="114">
        <f>SUM(D898:D900)</f>
        <v>179073.94</v>
      </c>
      <c r="E897" s="99">
        <v>166593.94</v>
      </c>
      <c r="F897" s="390">
        <f>SUM(E898:E900)</f>
        <v>166593.94</v>
      </c>
      <c r="G897" s="106">
        <v>0</v>
      </c>
      <c r="H897" s="114">
        <f t="shared" si="95"/>
        <v>93.03081174178665</v>
      </c>
      <c r="I897" s="114">
        <f t="shared" si="96"/>
        <v>38.282453389704806</v>
      </c>
      <c r="J897" s="34">
        <v>435170.49</v>
      </c>
      <c r="K897" s="492"/>
    </row>
    <row r="898" spans="1:11" customFormat="1" ht="12.75" customHeight="1" x14ac:dyDescent="0.3">
      <c r="A898" s="186"/>
      <c r="B898" s="227" t="s">
        <v>988</v>
      </c>
      <c r="C898" s="47">
        <v>0</v>
      </c>
      <c r="D898" s="47">
        <v>163593.94</v>
      </c>
      <c r="E898" s="390">
        <v>163593.94</v>
      </c>
      <c r="F898" s="490"/>
      <c r="G898" s="47">
        <v>0</v>
      </c>
      <c r="H898" s="70">
        <f t="shared" si="95"/>
        <v>100</v>
      </c>
      <c r="I898" s="70">
        <v>0</v>
      </c>
      <c r="J898" s="34">
        <v>0</v>
      </c>
      <c r="K898" s="494"/>
    </row>
    <row r="899" spans="1:11" customFormat="1" ht="12.75" customHeight="1" x14ac:dyDescent="0.3">
      <c r="A899" s="186"/>
      <c r="B899" s="227" t="s">
        <v>989</v>
      </c>
      <c r="C899" s="47">
        <v>0</v>
      </c>
      <c r="D899" s="47">
        <v>12480</v>
      </c>
      <c r="E899" s="390">
        <v>0</v>
      </c>
      <c r="F899" s="490"/>
      <c r="G899" s="47">
        <v>0</v>
      </c>
      <c r="H899" s="70">
        <f t="shared" si="95"/>
        <v>0</v>
      </c>
      <c r="I899" s="70">
        <v>0</v>
      </c>
      <c r="J899" s="34">
        <v>0</v>
      </c>
      <c r="K899" s="494"/>
    </row>
    <row r="900" spans="1:11" customFormat="1" ht="12.75" customHeight="1" x14ac:dyDescent="0.3">
      <c r="A900" s="186"/>
      <c r="B900" s="227" t="s">
        <v>990</v>
      </c>
      <c r="C900" s="47">
        <v>0</v>
      </c>
      <c r="D900" s="47">
        <v>3000</v>
      </c>
      <c r="E900" s="390">
        <v>3000</v>
      </c>
      <c r="F900" s="490"/>
      <c r="G900" s="47">
        <v>0</v>
      </c>
      <c r="H900" s="70">
        <f t="shared" si="95"/>
        <v>100</v>
      </c>
      <c r="I900" s="70">
        <v>0</v>
      </c>
      <c r="J900" s="34">
        <v>0</v>
      </c>
      <c r="K900" s="494"/>
    </row>
    <row r="901" spans="1:11" s="76" customFormat="1" ht="15.75" x14ac:dyDescent="0.25">
      <c r="A901" s="97">
        <v>6409</v>
      </c>
      <c r="B901" s="98" t="s">
        <v>991</v>
      </c>
      <c r="C901" s="114">
        <f t="shared" si="97"/>
        <v>3310000</v>
      </c>
      <c r="D901" s="114">
        <f t="shared" si="97"/>
        <v>63279818.979999997</v>
      </c>
      <c r="E901" s="102">
        <v>102114786.11</v>
      </c>
      <c r="F901" s="102">
        <f>SUM(E902:E904)</f>
        <v>102114786.11</v>
      </c>
      <c r="G901" s="106">
        <f t="shared" si="94"/>
        <v>3085.038855287009</v>
      </c>
      <c r="H901" s="106">
        <f t="shared" si="95"/>
        <v>161.37022475091791</v>
      </c>
      <c r="I901" s="106">
        <f t="shared" si="96"/>
        <v>47884.669759915429</v>
      </c>
      <c r="J901" s="34">
        <v>213251.52</v>
      </c>
    </row>
    <row r="902" spans="1:11" s="21" customFormat="1" x14ac:dyDescent="0.2">
      <c r="A902" s="110" t="s">
        <v>992</v>
      </c>
      <c r="B902" s="111" t="s">
        <v>993</v>
      </c>
      <c r="C902" s="47">
        <v>3000000</v>
      </c>
      <c r="D902" s="47">
        <f>3000000-425000-566437.5-163593.94-300000-135516-50000-3000+664262.82-2500000-5000000-409484-20843+2971187+6034578-1760000-950000-500000+17089643.31+209800-275880+54+8746257.22-100000-232526+36547.49-72652-1176970.59+50570+1462984.33+21660000-3200000-1032263.32-17200000-25000+(158100.5+29600+7958.4+78069+200+12600+1466+131100+42348)+(5800000+5700000+3460000)-230000-20000-600000-600000+(-3925018.9+3731500)-1200000-419212.24-88030-3.89-8800000-5500000-924898.76-100000-4.6-5000000-49000-50000-595005.27+54994.85+8740-93170-50000-45000-69500-1150000-100000-800000-950000-2747000+367500-70000+(3070000+585000+1550000)+16835000-30000+6519951+35300+230320+970376.48-28200-555556+(217967+2500000+50000+300000+100000-500000+1200000+50000+100000+68.67+214010+1000000+9104.96+1210+2420+96075+8365.39)+(-20760-267238-132246.3+431000+1009000+181000+13693-26782)+200000+2042156.56+21016.09+121016.24+248.14+2276.32+1000000+124739+814000+119158+7791164.26-50000-147136-25000-30000+3663880-1700000+30+(1383212.84)+(-1388250-17426.64-1955-130156.2)+262586+33227.82+1675000+(125931.94+125969.5)</f>
        <v>62969818.979999997</v>
      </c>
      <c r="E902" s="24">
        <v>0</v>
      </c>
      <c r="F902" s="133"/>
      <c r="G902" s="47">
        <f t="shared" si="94"/>
        <v>0</v>
      </c>
      <c r="H902" s="47">
        <f t="shared" si="95"/>
        <v>0</v>
      </c>
      <c r="I902" s="47">
        <v>0</v>
      </c>
      <c r="J902" s="34">
        <v>0</v>
      </c>
    </row>
    <row r="903" spans="1:11" s="21" customFormat="1" ht="36.75" x14ac:dyDescent="0.2">
      <c r="A903" s="112"/>
      <c r="B903" s="115" t="s">
        <v>994</v>
      </c>
      <c r="C903" s="47">
        <f>(5+80+50+80+30+5+60)*1000</f>
        <v>310000</v>
      </c>
      <c r="D903" s="47">
        <f>(5+80+50+80+30+5+60)*1000</f>
        <v>310000</v>
      </c>
      <c r="E903" s="70">
        <f>164278.68+128986.9</f>
        <v>293265.57999999996</v>
      </c>
      <c r="F903" s="133"/>
      <c r="G903" s="47">
        <f t="shared" si="94"/>
        <v>94.601799999999997</v>
      </c>
      <c r="H903" s="47">
        <f t="shared" si="95"/>
        <v>94.601799999999997</v>
      </c>
      <c r="I903" s="47">
        <f t="shared" si="96"/>
        <v>137.52097992079962</v>
      </c>
      <c r="J903" s="19">
        <v>213251.52</v>
      </c>
    </row>
    <row r="904" spans="1:11" s="21" customFormat="1" x14ac:dyDescent="0.2">
      <c r="A904" s="110"/>
      <c r="B904" s="111" t="s">
        <v>995</v>
      </c>
      <c r="C904" s="70">
        <v>0</v>
      </c>
      <c r="D904" s="70">
        <v>0</v>
      </c>
      <c r="E904" s="24">
        <v>101821520.53</v>
      </c>
      <c r="F904" s="133"/>
      <c r="G904" s="70">
        <v>0</v>
      </c>
      <c r="H904" s="70">
        <v>0</v>
      </c>
      <c r="I904" s="70">
        <v>0</v>
      </c>
      <c r="J904" s="34">
        <v>0</v>
      </c>
    </row>
    <row r="905" spans="1:11" s="21" customFormat="1" ht="13.5" thickBot="1" x14ac:dyDescent="0.25">
      <c r="A905" s="495"/>
      <c r="B905" s="396"/>
      <c r="C905" s="170"/>
      <c r="D905" s="170"/>
      <c r="E905" s="496"/>
      <c r="F905" s="497"/>
      <c r="G905" s="170"/>
      <c r="H905" s="170"/>
      <c r="I905" s="170"/>
      <c r="J905" s="34"/>
    </row>
    <row r="906" spans="1:11" s="21" customFormat="1" ht="24" thickBot="1" x14ac:dyDescent="0.4">
      <c r="A906" s="498"/>
      <c r="B906" s="499" t="s">
        <v>40</v>
      </c>
      <c r="C906" s="500">
        <f>SUM(C268+C364+C502+C505+C511+C523+C527+C531+C620+C624+C646+C656+C697+C703+C730+C875+C886)</f>
        <v>956048864.25</v>
      </c>
      <c r="D906" s="501">
        <f>SUM(D268+D364+D502+D505+D511+D523+D527+D531+D620+D624+D646+D656+D697+D703+D730+D875+D886)</f>
        <v>1027638497.1799998</v>
      </c>
      <c r="E906" s="500">
        <v>991584683.77999997</v>
      </c>
      <c r="F906" s="502">
        <f>SUM(E268,E364,E502,E505,E511,E523,E527,E531,E620,E624,E646,E656,E697,E703,E730,E875,E886)</f>
        <v>991584683.78000009</v>
      </c>
      <c r="G906" s="309">
        <f t="shared" si="94"/>
        <v>103.71694594897897</v>
      </c>
      <c r="H906" s="503">
        <f t="shared" si="95"/>
        <v>96.491585951778063</v>
      </c>
      <c r="I906" s="503">
        <f t="shared" si="96"/>
        <v>143.21014590228393</v>
      </c>
      <c r="J906" s="34">
        <v>692398347.57000005</v>
      </c>
    </row>
    <row r="907" spans="1:11" x14ac:dyDescent="0.2">
      <c r="A907" s="504"/>
      <c r="B907" s="505"/>
    </row>
    <row r="908" spans="1:11" x14ac:dyDescent="0.2">
      <c r="A908" s="504"/>
    </row>
    <row r="909" spans="1:11" s="21" customFormat="1" x14ac:dyDescent="0.2">
      <c r="A909" s="504"/>
      <c r="B909" s="8"/>
      <c r="C909" s="34">
        <f>C9-C906</f>
        <v>3.4999847412109375E-3</v>
      </c>
      <c r="D909" s="34">
        <f>D9-D906</f>
        <v>3.5002231597900391E-3</v>
      </c>
      <c r="E909" s="34">
        <f>E9-E906</f>
        <v>0</v>
      </c>
      <c r="F909" s="134">
        <f>E906-F906</f>
        <v>0</v>
      </c>
      <c r="G909" s="8"/>
      <c r="H909" s="8"/>
      <c r="I909" s="8"/>
      <c r="J909" s="34"/>
    </row>
    <row r="910" spans="1:11" s="21" customFormat="1" x14ac:dyDescent="0.2">
      <c r="A910" s="504"/>
      <c r="B910" s="8"/>
      <c r="C910" s="8"/>
      <c r="D910" s="8"/>
      <c r="E910" s="8"/>
      <c r="F910" s="134"/>
      <c r="G910" s="8"/>
      <c r="H910" s="8"/>
      <c r="I910" s="8"/>
      <c r="J910" s="34"/>
    </row>
    <row r="911" spans="1:11" x14ac:dyDescent="0.2">
      <c r="A911" s="504"/>
      <c r="F911" s="134"/>
    </row>
    <row r="912" spans="1:11" x14ac:dyDescent="0.2">
      <c r="A912" s="504"/>
      <c r="F912" s="134"/>
    </row>
    <row r="913" spans="1:1" x14ac:dyDescent="0.2">
      <c r="A913" s="504"/>
    </row>
    <row r="914" spans="1:1" x14ac:dyDescent="0.2">
      <c r="A914" s="504"/>
    </row>
    <row r="915" spans="1:1" x14ac:dyDescent="0.2">
      <c r="A915" s="504"/>
    </row>
    <row r="916" spans="1:1" x14ac:dyDescent="0.2">
      <c r="A916" s="504"/>
    </row>
    <row r="917" spans="1:1" x14ac:dyDescent="0.2">
      <c r="A917" s="504"/>
    </row>
    <row r="918" spans="1:1" x14ac:dyDescent="0.2">
      <c r="A918" s="504"/>
    </row>
    <row r="919" spans="1:1" x14ac:dyDescent="0.2">
      <c r="A919" s="504"/>
    </row>
    <row r="920" spans="1:1" x14ac:dyDescent="0.2">
      <c r="A920" s="504"/>
    </row>
    <row r="921" spans="1:1" x14ac:dyDescent="0.2">
      <c r="A921" s="504"/>
    </row>
    <row r="922" spans="1:1" x14ac:dyDescent="0.2">
      <c r="A922" s="504"/>
    </row>
    <row r="923" spans="1:1" x14ac:dyDescent="0.2">
      <c r="A923" s="504"/>
    </row>
    <row r="924" spans="1:1" x14ac:dyDescent="0.2">
      <c r="A924" s="504"/>
    </row>
    <row r="925" spans="1:1" x14ac:dyDescent="0.2">
      <c r="A925" s="504"/>
    </row>
    <row r="926" spans="1:1" x14ac:dyDescent="0.2">
      <c r="A926" s="504"/>
    </row>
    <row r="927" spans="1:1" x14ac:dyDescent="0.2">
      <c r="A927" s="504"/>
    </row>
    <row r="928" spans="1:1" x14ac:dyDescent="0.2">
      <c r="A928" s="504"/>
    </row>
    <row r="929" spans="1:1" x14ac:dyDescent="0.2">
      <c r="A929" s="504"/>
    </row>
    <row r="930" spans="1:1" x14ac:dyDescent="0.2">
      <c r="A930" s="504"/>
    </row>
  </sheetData>
  <sheetProtection selectLockedCells="1" selectUnlockedCells="1"/>
  <mergeCells count="4">
    <mergeCell ref="L186:M186"/>
    <mergeCell ref="L187:M187"/>
    <mergeCell ref="L188:M188"/>
    <mergeCell ref="L189:M189"/>
  </mergeCells>
  <pageMargins left="0" right="0" top="0.51181102362204722" bottom="0.39370078740157477" header="0.51181102362204722" footer="0.19685039370078738"/>
  <pageSetup paperSize="9" scale="65" firstPageNumber="0" orientation="landscape" horizontalDpi="300" verticalDpi="300"/>
  <headerFooter alignWithMargins="0">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rok 22</vt:lpstr>
      <vt:lpstr>'rok 22'!Excel_BuiltIn_Print_Area</vt:lpstr>
      <vt:lpstr>'rok 22'!Excel_BuiltIn_Print_Titles</vt:lpstr>
      <vt:lpstr>'rok 22'!Oblast_tisku</vt:lpstr>
      <vt:lpstr>'rok 22'!Print_Titles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Jarmila Straková</dc:creator>
  <cp:lastModifiedBy>Jarmila Straková</cp:lastModifiedBy>
  <dcterms:created xsi:type="dcterms:W3CDTF">2023-05-24T10:28:00Z</dcterms:created>
  <dcterms:modified xsi:type="dcterms:W3CDTF">2023-05-24T10:30:11Z</dcterms:modified>
</cp:coreProperties>
</file>