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olikova\Documents\výsledky hospodaření\2021-vysl-hospodareni\"/>
    </mc:Choice>
  </mc:AlternateContent>
  <bookViews>
    <workbookView xWindow="0" yWindow="0" windowWidth="19200" windowHeight="7155" activeTab="3"/>
  </bookViews>
  <sheets>
    <sheet name="1.pol.21" sheetId="1" r:id="rId1"/>
    <sheet name="1.pol.21koncept" sheetId="3" r:id="rId2"/>
    <sheet name="dle040-I." sheetId="2" r:id="rId3"/>
    <sheet name="rok21" sheetId="4" r:id="rId4"/>
    <sheet name="rok21koncept" sheetId="6" r:id="rId5"/>
    <sheet name="dle040-II." sheetId="5" r:id="rId6"/>
  </sheets>
  <definedNames>
    <definedName name="_xlnm.Print_Titles" localSheetId="0">'1.pol.21'!$1:$1</definedName>
    <definedName name="_xlnm.Print_Titles" localSheetId="1">'1.pol.21koncept'!$1:$1</definedName>
    <definedName name="_xlnm.Print_Titles" localSheetId="3">'rok21'!$1:$1</definedName>
    <definedName name="_xlnm.Print_Titles" localSheetId="4">rok21koncept!$1:$1</definedName>
    <definedName name="_xlnm.Print_Area" localSheetId="0">'1.pol.21'!$A$1:$I$800</definedName>
    <definedName name="_xlnm.Print_Area" localSheetId="1">'1.pol.21koncept'!$A$1:$I$809</definedName>
    <definedName name="_xlnm.Print_Area" localSheetId="3">'rok21'!$A$1:$I$876</definedName>
    <definedName name="_xlnm.Print_Area" localSheetId="4">rok21koncept!$A$1:$I$873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3" i="4" l="1"/>
  <c r="H124" i="4"/>
  <c r="G123" i="4"/>
  <c r="G122" i="4"/>
  <c r="I123" i="4"/>
  <c r="I122" i="4"/>
  <c r="I345" i="4"/>
  <c r="I840" i="4" l="1"/>
  <c r="I832" i="4"/>
  <c r="I833" i="4"/>
  <c r="I836" i="4"/>
  <c r="I831" i="4"/>
  <c r="I817" i="4"/>
  <c r="I813" i="4"/>
  <c r="I810" i="4"/>
  <c r="I805" i="4"/>
  <c r="I806" i="4"/>
  <c r="I807" i="4"/>
  <c r="I803" i="4"/>
  <c r="I797" i="4"/>
  <c r="I790" i="4"/>
  <c r="I791" i="4"/>
  <c r="I792" i="4"/>
  <c r="I769" i="4"/>
  <c r="I727" i="4"/>
  <c r="I680" i="4"/>
  <c r="I681" i="4"/>
  <c r="I671" i="4"/>
  <c r="I657" i="4"/>
  <c r="I640" i="4"/>
  <c r="I638" i="4"/>
  <c r="I641" i="4"/>
  <c r="I642" i="4"/>
  <c r="I639" i="4"/>
  <c r="I637" i="4"/>
  <c r="I634" i="4"/>
  <c r="I633" i="4"/>
  <c r="I629" i="4"/>
  <c r="I605" i="4"/>
  <c r="I603" i="4"/>
  <c r="I577" i="4"/>
  <c r="I572" i="4"/>
  <c r="I569" i="4"/>
  <c r="I567" i="4"/>
  <c r="I548" i="4"/>
  <c r="I539" i="4"/>
  <c r="I533" i="4"/>
  <c r="I534" i="4"/>
  <c r="I522" i="4"/>
  <c r="I513" i="4"/>
  <c r="I509" i="4"/>
  <c r="I502" i="4"/>
  <c r="I501" i="4"/>
  <c r="I465" i="4"/>
  <c r="I463" i="4"/>
  <c r="I425" i="4"/>
  <c r="I416" i="4"/>
  <c r="I414" i="4"/>
  <c r="I411" i="4"/>
  <c r="I405" i="4"/>
  <c r="I404" i="4"/>
  <c r="I397" i="4"/>
  <c r="I398" i="4"/>
  <c r="I399" i="4"/>
  <c r="I381" i="4"/>
  <c r="I380" i="4"/>
  <c r="I360" i="4"/>
  <c r="I352" i="4"/>
  <c r="I309" i="4"/>
  <c r="I308" i="4"/>
  <c r="I307" i="4"/>
  <c r="I303" i="4"/>
  <c r="I297" i="4"/>
  <c r="I266" i="4"/>
  <c r="I261" i="4"/>
  <c r="I254" i="4"/>
  <c r="I251" i="4"/>
  <c r="I230" i="4"/>
  <c r="I216" i="4"/>
  <c r="I215" i="4"/>
  <c r="I133" i="4"/>
  <c r="I126" i="4"/>
  <c r="I120" i="4"/>
  <c r="I53" i="4"/>
  <c r="H449" i="4"/>
  <c r="H299" i="4"/>
  <c r="H298" i="4"/>
  <c r="H297" i="4"/>
  <c r="H276" i="4"/>
  <c r="H277" i="4"/>
  <c r="H269" i="4"/>
  <c r="H262" i="4"/>
  <c r="H220" i="4"/>
  <c r="H223" i="4"/>
  <c r="H222" i="4"/>
  <c r="H221" i="4"/>
  <c r="H190" i="4"/>
  <c r="H191" i="4"/>
  <c r="H192" i="4"/>
  <c r="H193" i="4"/>
  <c r="H184" i="4"/>
  <c r="H185" i="4"/>
  <c r="H175" i="4"/>
  <c r="H176" i="4"/>
  <c r="H177" i="4"/>
  <c r="H153" i="4"/>
  <c r="H154" i="4"/>
  <c r="H155" i="4"/>
  <c r="H156" i="4"/>
  <c r="H157" i="4"/>
  <c r="H158" i="4"/>
  <c r="H159" i="4"/>
  <c r="H160" i="4"/>
  <c r="H148" i="4"/>
  <c r="H128" i="4"/>
  <c r="H129" i="4"/>
  <c r="H122" i="4"/>
  <c r="H105" i="4"/>
  <c r="H84" i="4"/>
  <c r="H54" i="4"/>
  <c r="G55" i="4"/>
  <c r="I11" i="4"/>
  <c r="I12" i="4"/>
  <c r="K11" i="4"/>
  <c r="D202" i="4"/>
  <c r="D203" i="4"/>
  <c r="D126" i="4" l="1"/>
  <c r="I94" i="5"/>
  <c r="F93" i="4"/>
  <c r="F109" i="4"/>
  <c r="F660" i="4"/>
  <c r="F649" i="4"/>
  <c r="F591" i="4"/>
  <c r="F580" i="4"/>
  <c r="F501" i="4"/>
  <c r="F476" i="4"/>
  <c r="F612" i="4" l="1"/>
  <c r="F650" i="4"/>
  <c r="F622" i="4"/>
  <c r="F623" i="4"/>
  <c r="F624" i="4" s="1"/>
  <c r="F666" i="4"/>
  <c r="F876" i="4"/>
  <c r="F816" i="4"/>
  <c r="F811" i="4"/>
  <c r="E805" i="4"/>
  <c r="F775" i="4"/>
  <c r="E775" i="4"/>
  <c r="F770" i="4"/>
  <c r="F706" i="4"/>
  <c r="F707" i="4" s="1"/>
  <c r="F797" i="4"/>
  <c r="E797" i="4"/>
  <c r="E795" i="4" s="1"/>
  <c r="E790" i="4"/>
  <c r="E788" i="4" s="1"/>
  <c r="E749" i="4"/>
  <c r="E747" i="4" s="1"/>
  <c r="E742" i="4"/>
  <c r="E740" i="4"/>
  <c r="E737" i="4"/>
  <c r="E735" i="4" s="1"/>
  <c r="E731" i="4"/>
  <c r="D755" i="4"/>
  <c r="D753" i="4"/>
  <c r="E730" i="4" l="1"/>
  <c r="E787" i="4"/>
  <c r="D605" i="4"/>
  <c r="F605" i="4" s="1"/>
  <c r="D604" i="4"/>
  <c r="F604" i="4" s="1"/>
  <c r="D603" i="4"/>
  <c r="D602" i="4"/>
  <c r="D606" i="4"/>
  <c r="F849" i="4"/>
  <c r="F850" i="4" s="1"/>
  <c r="E873" i="4"/>
  <c r="F862" i="4"/>
  <c r="F829" i="4"/>
  <c r="F688" i="4"/>
  <c r="C862" i="4"/>
  <c r="D590" i="4"/>
  <c r="D707" i="4"/>
  <c r="F715" i="4"/>
  <c r="C712" i="4"/>
  <c r="D716" i="4"/>
  <c r="D718" i="4"/>
  <c r="D721" i="4"/>
  <c r="G713" i="4"/>
  <c r="D713" i="4"/>
  <c r="D712" i="4" s="1"/>
  <c r="C696" i="4"/>
  <c r="H698" i="4"/>
  <c r="G698" i="4"/>
  <c r="H699" i="4"/>
  <c r="H713" i="4" l="1"/>
  <c r="F595" i="4"/>
  <c r="E529" i="4" l="1"/>
  <c r="E528" i="4"/>
  <c r="E527" i="4"/>
  <c r="F504" i="4"/>
  <c r="D872" i="4"/>
  <c r="D539" i="4"/>
  <c r="F445" i="4"/>
  <c r="F442" i="4"/>
  <c r="D450" i="4"/>
  <c r="C445" i="4"/>
  <c r="I451" i="4"/>
  <c r="G451" i="4"/>
  <c r="D451" i="4"/>
  <c r="H451" i="4" s="1"/>
  <c r="D447" i="4"/>
  <c r="D397" i="4" l="1"/>
  <c r="D396" i="4"/>
  <c r="F395" i="4"/>
  <c r="F371" i="4"/>
  <c r="F362" i="4"/>
  <c r="F331" i="4"/>
  <c r="F342" i="4"/>
  <c r="F332" i="4"/>
  <c r="F317" i="4"/>
  <c r="F318" i="4"/>
  <c r="E508" i="4"/>
  <c r="E507" i="4"/>
  <c r="E509" i="4"/>
  <c r="D493" i="4"/>
  <c r="D492" i="4"/>
  <c r="E309" i="4"/>
  <c r="F307" i="4" s="1"/>
  <c r="D397" i="6"/>
  <c r="D396" i="6"/>
  <c r="D325" i="6"/>
  <c r="D323" i="6"/>
  <c r="D323" i="4"/>
  <c r="D325" i="4"/>
  <c r="F506" i="4" l="1"/>
  <c r="F214" i="4"/>
  <c r="F215" i="4"/>
  <c r="F198" i="4"/>
  <c r="E197" i="4"/>
  <c r="F196" i="4" s="1"/>
  <c r="F197" i="4" s="1"/>
  <c r="F183" i="4"/>
  <c r="F136" i="4"/>
  <c r="F135" i="4"/>
  <c r="E163" i="4"/>
  <c r="E162" i="4"/>
  <c r="E161" i="4"/>
  <c r="F89" i="4"/>
  <c r="M90" i="4"/>
  <c r="F179" i="4"/>
  <c r="E122" i="4"/>
  <c r="F271" i="4"/>
  <c r="F263" i="4"/>
  <c r="F252" i="4"/>
  <c r="F224" i="4"/>
  <c r="F70" i="4"/>
  <c r="F53" i="4"/>
  <c r="D72" i="4"/>
  <c r="D71" i="4"/>
  <c r="D72" i="6"/>
  <c r="D71" i="6"/>
  <c r="D870" i="6"/>
  <c r="C870" i="6"/>
  <c r="D869" i="6"/>
  <c r="D868" i="6" s="1"/>
  <c r="C868" i="6"/>
  <c r="D865" i="6"/>
  <c r="D864" i="6"/>
  <c r="D863" i="6"/>
  <c r="C862" i="6"/>
  <c r="D861" i="6"/>
  <c r="D860" i="6"/>
  <c r="D859" i="6" s="1"/>
  <c r="C859" i="6"/>
  <c r="D858" i="6"/>
  <c r="D855" i="6"/>
  <c r="D854" i="6"/>
  <c r="C854" i="6"/>
  <c r="D853" i="6"/>
  <c r="D852" i="6"/>
  <c r="D851" i="6"/>
  <c r="D850" i="6"/>
  <c r="C849" i="6"/>
  <c r="D847" i="6"/>
  <c r="C847" i="6"/>
  <c r="C845" i="6"/>
  <c r="D841" i="6"/>
  <c r="D840" i="6"/>
  <c r="D839" i="6" s="1"/>
  <c r="C839" i="6"/>
  <c r="D834" i="6"/>
  <c r="D830" i="6"/>
  <c r="D828" i="6"/>
  <c r="C828" i="6"/>
  <c r="D825" i="6"/>
  <c r="C825" i="6"/>
  <c r="D824" i="6"/>
  <c r="D822" i="6"/>
  <c r="D821" i="6"/>
  <c r="D820" i="6"/>
  <c r="D819" i="6"/>
  <c r="D818" i="6"/>
  <c r="D817" i="6"/>
  <c r="D816" i="6"/>
  <c r="D815" i="6"/>
  <c r="C812" i="6"/>
  <c r="D801" i="6"/>
  <c r="C801" i="6"/>
  <c r="D800" i="6"/>
  <c r="D794" i="6"/>
  <c r="D793" i="6"/>
  <c r="C793" i="6"/>
  <c r="D792" i="6"/>
  <c r="D791" i="6" s="1"/>
  <c r="C791" i="6"/>
  <c r="D788" i="6"/>
  <c r="D786" i="6"/>
  <c r="C786" i="6"/>
  <c r="D785" i="6"/>
  <c r="D784" i="6" s="1"/>
  <c r="C784" i="6"/>
  <c r="D782" i="6"/>
  <c r="D779" i="6"/>
  <c r="D778" i="6"/>
  <c r="D774" i="6"/>
  <c r="D771" i="6" s="1"/>
  <c r="C771" i="6"/>
  <c r="D767" i="6"/>
  <c r="D766" i="6"/>
  <c r="C766" i="6"/>
  <c r="D765" i="6"/>
  <c r="D763" i="6"/>
  <c r="D762" i="6"/>
  <c r="D760" i="6"/>
  <c r="D755" i="6" s="1"/>
  <c r="D759" i="6"/>
  <c r="C755" i="6"/>
  <c r="D752" i="6"/>
  <c r="D751" i="6"/>
  <c r="D749" i="6"/>
  <c r="D746" i="6"/>
  <c r="D745" i="6" s="1"/>
  <c r="C745" i="6"/>
  <c r="D743" i="6"/>
  <c r="D738" i="6"/>
  <c r="C738" i="6"/>
  <c r="C736" i="6"/>
  <c r="D735" i="6"/>
  <c r="D733" i="6"/>
  <c r="D731" i="6" s="1"/>
  <c r="C733" i="6"/>
  <c r="J732" i="6"/>
  <c r="C731" i="6"/>
  <c r="D729" i="6"/>
  <c r="D728" i="6"/>
  <c r="C727" i="6"/>
  <c r="D723" i="6"/>
  <c r="C723" i="6"/>
  <c r="D722" i="6"/>
  <c r="D721" i="6"/>
  <c r="D720" i="6"/>
  <c r="C720" i="6"/>
  <c r="D718" i="6"/>
  <c r="D717" i="6"/>
  <c r="D715" i="6"/>
  <c r="C715" i="6"/>
  <c r="D713" i="6"/>
  <c r="D712" i="6"/>
  <c r="D711" i="6"/>
  <c r="C711" i="6"/>
  <c r="D710" i="6"/>
  <c r="D709" i="6"/>
  <c r="C709" i="6"/>
  <c r="D705" i="6"/>
  <c r="D704" i="6"/>
  <c r="C703" i="6"/>
  <c r="D702" i="6"/>
  <c r="D701" i="6"/>
  <c r="D699" i="6"/>
  <c r="D698" i="6"/>
  <c r="C698" i="6"/>
  <c r="D696" i="6"/>
  <c r="C695" i="6"/>
  <c r="D687" i="6"/>
  <c r="C687" i="6"/>
  <c r="D685" i="6"/>
  <c r="C685" i="6"/>
  <c r="D683" i="6"/>
  <c r="D681" i="6"/>
  <c r="C681" i="6"/>
  <c r="D679" i="6"/>
  <c r="D677" i="6"/>
  <c r="D676" i="6"/>
  <c r="C676" i="6"/>
  <c r="D675" i="6"/>
  <c r="D674" i="6"/>
  <c r="D667" i="6"/>
  <c r="D663" i="6"/>
  <c r="D662" i="6"/>
  <c r="D661" i="6"/>
  <c r="D660" i="6"/>
  <c r="D659" i="6" s="1"/>
  <c r="C660" i="6"/>
  <c r="D657" i="6"/>
  <c r="D654" i="6"/>
  <c r="D652" i="6"/>
  <c r="D649" i="6"/>
  <c r="C649" i="6"/>
  <c r="D647" i="6"/>
  <c r="D642" i="6"/>
  <c r="C642" i="6"/>
  <c r="D640" i="6"/>
  <c r="C640" i="6"/>
  <c r="D638" i="6"/>
  <c r="C638" i="6"/>
  <c r="D636" i="6"/>
  <c r="C636" i="6"/>
  <c r="D635" i="6"/>
  <c r="C634" i="6"/>
  <c r="D632" i="6"/>
  <c r="C632" i="6"/>
  <c r="D631" i="6"/>
  <c r="D629" i="6"/>
  <c r="C629" i="6"/>
  <c r="D628" i="6"/>
  <c r="D627" i="6"/>
  <c r="D626" i="6"/>
  <c r="C626" i="6"/>
  <c r="C622" i="6"/>
  <c r="D618" i="6"/>
  <c r="C618" i="6"/>
  <c r="D617" i="6"/>
  <c r="D615" i="6"/>
  <c r="D608" i="6"/>
  <c r="D605" i="6"/>
  <c r="C605" i="6"/>
  <c r="D604" i="6"/>
  <c r="D603" i="6"/>
  <c r="D602" i="6"/>
  <c r="D601" i="6"/>
  <c r="C601" i="6"/>
  <c r="C600" i="6" s="1"/>
  <c r="D600" i="6"/>
  <c r="D599" i="6"/>
  <c r="D594" i="6"/>
  <c r="D592" i="6"/>
  <c r="C592" i="6"/>
  <c r="D591" i="6"/>
  <c r="C591" i="6"/>
  <c r="D590" i="6"/>
  <c r="C590" i="6"/>
  <c r="D589" i="6"/>
  <c r="D580" i="6" s="1"/>
  <c r="C580" i="6"/>
  <c r="D579" i="6"/>
  <c r="C579" i="6"/>
  <c r="D577" i="6"/>
  <c r="C577" i="6"/>
  <c r="D576" i="6"/>
  <c r="D572" i="6" s="1"/>
  <c r="D575" i="6"/>
  <c r="C575" i="6"/>
  <c r="D573" i="6"/>
  <c r="D568" i="6"/>
  <c r="D567" i="6"/>
  <c r="C567" i="6"/>
  <c r="D566" i="6"/>
  <c r="C563" i="6"/>
  <c r="D562" i="6"/>
  <c r="D561" i="6"/>
  <c r="C561" i="6"/>
  <c r="D560" i="6"/>
  <c r="C560" i="6"/>
  <c r="D559" i="6"/>
  <c r="C559" i="6"/>
  <c r="D558" i="6"/>
  <c r="D557" i="6" s="1"/>
  <c r="C557" i="6"/>
  <c r="D555" i="6"/>
  <c r="D554" i="6"/>
  <c r="D553" i="6"/>
  <c r="D552" i="6"/>
  <c r="D551" i="6"/>
  <c r="C551" i="6"/>
  <c r="C550" i="6"/>
  <c r="D548" i="6"/>
  <c r="C548" i="6"/>
  <c r="D547" i="6"/>
  <c r="D546" i="6"/>
  <c r="D545" i="6"/>
  <c r="D543" i="6"/>
  <c r="C543" i="6"/>
  <c r="C540" i="6" s="1"/>
  <c r="D542" i="6"/>
  <c r="C542" i="6"/>
  <c r="D541" i="6"/>
  <c r="D540" i="6"/>
  <c r="D538" i="6"/>
  <c r="D537" i="6"/>
  <c r="D536" i="6"/>
  <c r="C535" i="6"/>
  <c r="D533" i="6"/>
  <c r="C533" i="6"/>
  <c r="D532" i="6"/>
  <c r="D531" i="6"/>
  <c r="C530" i="6"/>
  <c r="C527" i="6"/>
  <c r="D526" i="6"/>
  <c r="C526" i="6"/>
  <c r="D525" i="6"/>
  <c r="D522" i="6"/>
  <c r="D508" i="6" s="1"/>
  <c r="D521" i="6"/>
  <c r="C521" i="6"/>
  <c r="D520" i="6"/>
  <c r="D519" i="6" s="1"/>
  <c r="C519" i="6"/>
  <c r="D517" i="6"/>
  <c r="D516" i="6"/>
  <c r="C515" i="6"/>
  <c r="D513" i="6"/>
  <c r="C513" i="6"/>
  <c r="D512" i="6"/>
  <c r="C512" i="6"/>
  <c r="C507" i="6" s="1"/>
  <c r="D511" i="6"/>
  <c r="D506" i="6" s="1"/>
  <c r="C510" i="6"/>
  <c r="C508" i="6"/>
  <c r="C506" i="6"/>
  <c r="D501" i="6"/>
  <c r="D500" i="6"/>
  <c r="C500" i="6"/>
  <c r="D496" i="6"/>
  <c r="C496" i="6"/>
  <c r="D494" i="6"/>
  <c r="D489" i="6" s="1"/>
  <c r="D492" i="6"/>
  <c r="D491" i="6"/>
  <c r="C489" i="6"/>
  <c r="D488" i="6"/>
  <c r="C487" i="6"/>
  <c r="D484" i="6"/>
  <c r="D483" i="6"/>
  <c r="D482" i="6"/>
  <c r="D481" i="6"/>
  <c r="D480" i="6"/>
  <c r="C480" i="6"/>
  <c r="D478" i="6"/>
  <c r="D477" i="6"/>
  <c r="D476" i="6"/>
  <c r="D475" i="6"/>
  <c r="C475" i="6"/>
  <c r="D472" i="6"/>
  <c r="D471" i="6"/>
  <c r="D470" i="6" s="1"/>
  <c r="C470" i="6"/>
  <c r="D469" i="6"/>
  <c r="D468" i="6"/>
  <c r="D467" i="6"/>
  <c r="C467" i="6"/>
  <c r="D462" i="6"/>
  <c r="D461" i="6"/>
  <c r="C460" i="6"/>
  <c r="D459" i="6"/>
  <c r="D456" i="6" s="1"/>
  <c r="C456" i="6"/>
  <c r="D455" i="6"/>
  <c r="D453" i="6"/>
  <c r="C453" i="6"/>
  <c r="C452" i="6"/>
  <c r="D451" i="6"/>
  <c r="D450" i="6"/>
  <c r="D449" i="6"/>
  <c r="D447" i="6"/>
  <c r="C445" i="6"/>
  <c r="D443" i="6"/>
  <c r="C443" i="6"/>
  <c r="D440" i="6"/>
  <c r="C440" i="6"/>
  <c r="D439" i="6"/>
  <c r="D436" i="6"/>
  <c r="D435" i="6"/>
  <c r="D434" i="6"/>
  <c r="D433" i="6"/>
  <c r="D432" i="6"/>
  <c r="D430" i="6"/>
  <c r="D426" i="6"/>
  <c r="D425" i="6"/>
  <c r="D420" i="6"/>
  <c r="D419" i="6"/>
  <c r="D418" i="6"/>
  <c r="D417" i="6"/>
  <c r="D415" i="6"/>
  <c r="D414" i="6"/>
  <c r="D413" i="6"/>
  <c r="C412" i="6"/>
  <c r="D406" i="6"/>
  <c r="D405" i="6"/>
  <c r="D404" i="6"/>
  <c r="C404" i="6"/>
  <c r="D401" i="6"/>
  <c r="D400" i="6"/>
  <c r="D399" i="6"/>
  <c r="D398" i="6"/>
  <c r="D395" i="6"/>
  <c r="C395" i="6"/>
  <c r="D393" i="6"/>
  <c r="D391" i="6"/>
  <c r="D390" i="6"/>
  <c r="D389" i="6" s="1"/>
  <c r="C389" i="6"/>
  <c r="D388" i="6"/>
  <c r="D387" i="6"/>
  <c r="D386" i="6"/>
  <c r="D385" i="6" s="1"/>
  <c r="C385" i="6"/>
  <c r="D380" i="6"/>
  <c r="C380" i="6"/>
  <c r="D379" i="6"/>
  <c r="D378" i="6"/>
  <c r="D377" i="6"/>
  <c r="D376" i="6" s="1"/>
  <c r="C376" i="6"/>
  <c r="D375" i="6"/>
  <c r="D374" i="6"/>
  <c r="D373" i="6"/>
  <c r="C372" i="6"/>
  <c r="D369" i="6"/>
  <c r="D368" i="6"/>
  <c r="C368" i="6"/>
  <c r="D367" i="6"/>
  <c r="C367" i="6"/>
  <c r="D366" i="6"/>
  <c r="D365" i="6"/>
  <c r="D364" i="6"/>
  <c r="C364" i="6"/>
  <c r="C362" i="6" s="1"/>
  <c r="D362" i="6"/>
  <c r="D360" i="6"/>
  <c r="C360" i="6"/>
  <c r="C359" i="6" s="1"/>
  <c r="D358" i="6"/>
  <c r="D357" i="6" s="1"/>
  <c r="C358" i="6"/>
  <c r="C357" i="6"/>
  <c r="D355" i="6"/>
  <c r="D351" i="6" s="1"/>
  <c r="D350" i="6" s="1"/>
  <c r="C355" i="6"/>
  <c r="C351" i="6"/>
  <c r="D347" i="6"/>
  <c r="C347" i="6"/>
  <c r="D343" i="6"/>
  <c r="D342" i="6" s="1"/>
  <c r="C342" i="6"/>
  <c r="D341" i="6"/>
  <c r="C341" i="6"/>
  <c r="D340" i="6"/>
  <c r="D339" i="6"/>
  <c r="D338" i="6"/>
  <c r="D335" i="6"/>
  <c r="D334" i="6"/>
  <c r="D333" i="6"/>
  <c r="D332" i="6" s="1"/>
  <c r="C332" i="6"/>
  <c r="C331" i="6"/>
  <c r="C330" i="6"/>
  <c r="D327" i="6"/>
  <c r="C327" i="6"/>
  <c r="D322" i="6"/>
  <c r="C322" i="6"/>
  <c r="D318" i="6"/>
  <c r="C318" i="6"/>
  <c r="C317" i="6"/>
  <c r="D308" i="6"/>
  <c r="C308" i="6"/>
  <c r="D305" i="6"/>
  <c r="D304" i="6" s="1"/>
  <c r="C304" i="6"/>
  <c r="D298" i="6"/>
  <c r="D297" i="6"/>
  <c r="D296" i="6"/>
  <c r="D295" i="6" s="1"/>
  <c r="C295" i="6"/>
  <c r="D294" i="6"/>
  <c r="D293" i="6"/>
  <c r="D282" i="6"/>
  <c r="D281" i="6"/>
  <c r="D280" i="6"/>
  <c r="C279" i="6"/>
  <c r="D276" i="6"/>
  <c r="D275" i="6"/>
  <c r="D274" i="6"/>
  <c r="D272" i="6" s="1"/>
  <c r="D273" i="6"/>
  <c r="C272" i="6"/>
  <c r="D270" i="6"/>
  <c r="D269" i="6"/>
  <c r="D268" i="6"/>
  <c r="D266" i="6"/>
  <c r="D265" i="6"/>
  <c r="C264" i="6"/>
  <c r="D263" i="6"/>
  <c r="D259" i="6"/>
  <c r="D254" i="6"/>
  <c r="D253" i="6"/>
  <c r="C253" i="6"/>
  <c r="D250" i="6"/>
  <c r="D249" i="6"/>
  <c r="D248" i="6"/>
  <c r="D247" i="6"/>
  <c r="D246" i="6"/>
  <c r="D245" i="6"/>
  <c r="D244" i="6"/>
  <c r="D229" i="6"/>
  <c r="D228" i="6"/>
  <c r="D226" i="6"/>
  <c r="D225" i="6"/>
  <c r="C225" i="6"/>
  <c r="D221" i="6"/>
  <c r="C221" i="6"/>
  <c r="D220" i="6"/>
  <c r="C220" i="6"/>
  <c r="D218" i="6"/>
  <c r="D216" i="6"/>
  <c r="C216" i="6"/>
  <c r="C215" i="6"/>
  <c r="D213" i="6"/>
  <c r="D212" i="6"/>
  <c r="D210" i="6" s="1"/>
  <c r="D211" i="6"/>
  <c r="C210" i="6"/>
  <c r="D209" i="6"/>
  <c r="D207" i="6"/>
  <c r="D205" i="6"/>
  <c r="D204" i="6"/>
  <c r="D201" i="6"/>
  <c r="C201" i="6"/>
  <c r="D198" i="6"/>
  <c r="C198" i="6"/>
  <c r="D194" i="6"/>
  <c r="D193" i="6"/>
  <c r="D192" i="6"/>
  <c r="D190" i="6"/>
  <c r="D183" i="6" s="1"/>
  <c r="C183" i="6"/>
  <c r="D170" i="6"/>
  <c r="D166" i="6"/>
  <c r="D164" i="6"/>
  <c r="C164" i="6"/>
  <c r="D163" i="6"/>
  <c r="D162" i="6"/>
  <c r="D161" i="6"/>
  <c r="D154" i="6"/>
  <c r="D152" i="6"/>
  <c r="D151" i="6"/>
  <c r="D148" i="6"/>
  <c r="D145" i="6"/>
  <c r="D141" i="6"/>
  <c r="D140" i="6"/>
  <c r="D138" i="6"/>
  <c r="D135" i="6" s="1"/>
  <c r="D137" i="6"/>
  <c r="D136" i="6"/>
  <c r="C135" i="6"/>
  <c r="D134" i="6"/>
  <c r="D131" i="6"/>
  <c r="D127" i="6"/>
  <c r="D126" i="6"/>
  <c r="D121" i="6"/>
  <c r="D119" i="6"/>
  <c r="D117" i="6"/>
  <c r="C117" i="6"/>
  <c r="D116" i="6"/>
  <c r="D113" i="6"/>
  <c r="D112" i="6"/>
  <c r="C112" i="6"/>
  <c r="D110" i="6"/>
  <c r="C110" i="6"/>
  <c r="C104" i="6" s="1"/>
  <c r="D109" i="6"/>
  <c r="D108" i="6"/>
  <c r="D107" i="6"/>
  <c r="D106" i="6"/>
  <c r="D104" i="6"/>
  <c r="D101" i="6"/>
  <c r="D95" i="6"/>
  <c r="D94" i="6"/>
  <c r="D93" i="6"/>
  <c r="D90" i="6"/>
  <c r="C90" i="6"/>
  <c r="C89" i="6" s="1"/>
  <c r="D86" i="6"/>
  <c r="D85" i="6"/>
  <c r="D76" i="6"/>
  <c r="C76" i="6"/>
  <c r="D70" i="6"/>
  <c r="C70" i="6"/>
  <c r="D67" i="6"/>
  <c r="D66" i="6"/>
  <c r="C66" i="6"/>
  <c r="D63" i="6"/>
  <c r="D62" i="6"/>
  <c r="D61" i="6"/>
  <c r="D60" i="6"/>
  <c r="C60" i="6"/>
  <c r="D59" i="6"/>
  <c r="D58" i="6"/>
  <c r="C58" i="6"/>
  <c r="D57" i="6"/>
  <c r="D56" i="6"/>
  <c r="C56" i="6"/>
  <c r="D55" i="6"/>
  <c r="C55" i="6"/>
  <c r="D54" i="6"/>
  <c r="C54" i="6"/>
  <c r="C53" i="6"/>
  <c r="C49" i="6"/>
  <c r="D48" i="6"/>
  <c r="C48" i="6"/>
  <c r="D47" i="6"/>
  <c r="D45" i="6"/>
  <c r="C45" i="6"/>
  <c r="D43" i="6"/>
  <c r="C43" i="6"/>
  <c r="D42" i="6"/>
  <c r="C42" i="6"/>
  <c r="D41" i="6"/>
  <c r="C41" i="6"/>
  <c r="C38" i="6"/>
  <c r="D35" i="6"/>
  <c r="D34" i="6"/>
  <c r="C34" i="6"/>
  <c r="D33" i="6"/>
  <c r="D29" i="6"/>
  <c r="C29" i="6"/>
  <c r="D28" i="6"/>
  <c r="C28" i="6"/>
  <c r="D26" i="6"/>
  <c r="C26" i="6"/>
  <c r="D25" i="6"/>
  <c r="C25" i="6"/>
  <c r="D24" i="6"/>
  <c r="C24" i="6"/>
  <c r="C23" i="6"/>
  <c r="C16" i="6"/>
  <c r="C15" i="6"/>
  <c r="J10" i="6"/>
  <c r="F877" i="6"/>
  <c r="E877" i="6"/>
  <c r="D8" i="6"/>
  <c r="C8" i="6"/>
  <c r="C6" i="6"/>
  <c r="C4" i="6" l="1"/>
  <c r="D17" i="6"/>
  <c r="C545" i="6"/>
  <c r="D563" i="6"/>
  <c r="D614" i="6"/>
  <c r="D703" i="6"/>
  <c r="D708" i="6"/>
  <c r="C33" i="6"/>
  <c r="D53" i="6"/>
  <c r="C199" i="6"/>
  <c r="D215" i="6"/>
  <c r="D279" i="6"/>
  <c r="D372" i="6"/>
  <c r="D507" i="6"/>
  <c r="D515" i="6"/>
  <c r="D530" i="6"/>
  <c r="D535" i="6"/>
  <c r="D556" i="6"/>
  <c r="C694" i="6"/>
  <c r="C743" i="6"/>
  <c r="D89" i="6"/>
  <c r="C197" i="6"/>
  <c r="D199" i="6"/>
  <c r="D264" i="6"/>
  <c r="C350" i="6"/>
  <c r="C384" i="6"/>
  <c r="D384" i="6"/>
  <c r="D412" i="6"/>
  <c r="D460" i="6"/>
  <c r="D487" i="6"/>
  <c r="C505" i="6"/>
  <c r="D527" i="6"/>
  <c r="D849" i="6"/>
  <c r="C3" i="6"/>
  <c r="D40" i="6"/>
  <c r="D331" i="6"/>
  <c r="D394" i="6"/>
  <c r="C394" i="6"/>
  <c r="D445" i="6"/>
  <c r="D528" i="6"/>
  <c r="D570" i="6"/>
  <c r="C594" i="6"/>
  <c r="C614" i="6"/>
  <c r="D634" i="6"/>
  <c r="D648" i="6"/>
  <c r="D695" i="6"/>
  <c r="D727" i="6"/>
  <c r="C726" i="6"/>
  <c r="D317" i="6"/>
  <c r="D359" i="6"/>
  <c r="C371" i="6"/>
  <c r="C442" i="6"/>
  <c r="C486" i="6"/>
  <c r="D510" i="6"/>
  <c r="C524" i="6"/>
  <c r="C528" i="6"/>
  <c r="D550" i="6"/>
  <c r="C659" i="6"/>
  <c r="C674" i="6"/>
  <c r="C783" i="6"/>
  <c r="D783" i="6"/>
  <c r="C807" i="6"/>
  <c r="C824" i="6"/>
  <c r="C834" i="6"/>
  <c r="C572" i="6"/>
  <c r="D622" i="6"/>
  <c r="D665" i="6"/>
  <c r="C719" i="6"/>
  <c r="C648" i="6"/>
  <c r="C708" i="6"/>
  <c r="D736" i="6"/>
  <c r="D812" i="6"/>
  <c r="D862" i="6"/>
  <c r="D628" i="4"/>
  <c r="D632" i="4"/>
  <c r="D621" i="6" l="1"/>
  <c r="D38" i="6"/>
  <c r="D39" i="6"/>
  <c r="D3" i="6"/>
  <c r="C570" i="6"/>
  <c r="D694" i="6"/>
  <c r="C21" i="6"/>
  <c r="D505" i="6"/>
  <c r="C383" i="6"/>
  <c r="C20" i="6"/>
  <c r="D197" i="6"/>
  <c r="D442" i="6"/>
  <c r="D611" i="6"/>
  <c r="C356" i="6"/>
  <c r="C40" i="6"/>
  <c r="D32" i="6"/>
  <c r="D6" i="6"/>
  <c r="D845" i="6"/>
  <c r="C754" i="6"/>
  <c r="C35" i="6"/>
  <c r="D807" i="6"/>
  <c r="C665" i="6"/>
  <c r="C27" i="6"/>
  <c r="D15" i="6"/>
  <c r="D21" i="6"/>
  <c r="C504" i="6"/>
  <c r="C5" i="6"/>
  <c r="C693" i="6"/>
  <c r="D524" i="6"/>
  <c r="C611" i="6"/>
  <c r="D330" i="6"/>
  <c r="D20" i="6"/>
  <c r="C17" i="6"/>
  <c r="D44" i="6"/>
  <c r="C39" i="6"/>
  <c r="C47" i="6"/>
  <c r="C22" i="6"/>
  <c r="D754" i="6"/>
  <c r="D726" i="6"/>
  <c r="D452" i="6"/>
  <c r="D486" i="6"/>
  <c r="D4" i="6"/>
  <c r="D371" i="6"/>
  <c r="C621" i="6"/>
  <c r="C302" i="6"/>
  <c r="D600" i="4"/>
  <c r="D258" i="4"/>
  <c r="D191" i="4"/>
  <c r="D636" i="4"/>
  <c r="D648" i="4"/>
  <c r="C36" i="6" l="1"/>
  <c r="D49" i="6"/>
  <c r="D5" i="6"/>
  <c r="D719" i="6"/>
  <c r="C44" i="6"/>
  <c r="D36" i="6"/>
  <c r="C556" i="6"/>
  <c r="D302" i="6"/>
  <c r="D37" i="6"/>
  <c r="C7" i="6"/>
  <c r="C313" i="6"/>
  <c r="D23" i="6"/>
  <c r="D383" i="6"/>
  <c r="D504" i="6"/>
  <c r="C37" i="6"/>
  <c r="D27" i="6"/>
  <c r="D16" i="6"/>
  <c r="C691" i="6"/>
  <c r="C31" i="6"/>
  <c r="C503" i="6"/>
  <c r="D22" i="6"/>
  <c r="C19" i="6"/>
  <c r="D356" i="6"/>
  <c r="C18" i="6"/>
  <c r="D693" i="6"/>
  <c r="C316" i="6"/>
  <c r="D858" i="4"/>
  <c r="C30" i="6" l="1"/>
  <c r="D503" i="6"/>
  <c r="D31" i="6"/>
  <c r="C9" i="6"/>
  <c r="C873" i="6"/>
  <c r="C14" i="6"/>
  <c r="D313" i="6"/>
  <c r="D7" i="6"/>
  <c r="D691" i="6"/>
  <c r="C32" i="6"/>
  <c r="C46" i="6"/>
  <c r="D19" i="6"/>
  <c r="D18" i="6"/>
  <c r="D316" i="6"/>
  <c r="D327" i="4"/>
  <c r="D322" i="4"/>
  <c r="D318" i="4"/>
  <c r="D220" i="4"/>
  <c r="D686" i="4"/>
  <c r="D678" i="4"/>
  <c r="D593" i="4"/>
  <c r="D663" i="4"/>
  <c r="D778" i="4"/>
  <c r="D100" i="4"/>
  <c r="D162" i="4"/>
  <c r="I128" i="4"/>
  <c r="D154" i="4"/>
  <c r="H172" i="4"/>
  <c r="H125" i="4"/>
  <c r="H169" i="4"/>
  <c r="I206" i="4"/>
  <c r="D206" i="4"/>
  <c r="H206" i="4" s="1"/>
  <c r="D105" i="4"/>
  <c r="D274" i="4"/>
  <c r="I90" i="4"/>
  <c r="H90" i="4"/>
  <c r="I82" i="4"/>
  <c r="H82" i="4"/>
  <c r="G82" i="4"/>
  <c r="D208" i="4"/>
  <c r="D280" i="4"/>
  <c r="D279" i="4"/>
  <c r="D272" i="4"/>
  <c r="D275" i="4"/>
  <c r="D245" i="4"/>
  <c r="D244" i="4"/>
  <c r="H244" i="4" s="1"/>
  <c r="D668" i="4"/>
  <c r="D233" i="4"/>
  <c r="H233" i="4" s="1"/>
  <c r="D680" i="4"/>
  <c r="D375" i="4"/>
  <c r="D358" i="4"/>
  <c r="D553" i="4"/>
  <c r="D249" i="4"/>
  <c r="D317" i="4" l="1"/>
  <c r="C50" i="6"/>
  <c r="C11" i="6" s="1"/>
  <c r="D9" i="6"/>
  <c r="C877" i="6"/>
  <c r="D30" i="6"/>
  <c r="D46" i="6"/>
  <c r="D873" i="6"/>
  <c r="D14" i="6"/>
  <c r="D204" i="4"/>
  <c r="D877" i="6" l="1"/>
  <c r="D50" i="6"/>
  <c r="D11" i="6" s="1"/>
  <c r="D193" i="4"/>
  <c r="D127" i="4"/>
  <c r="D120" i="4"/>
  <c r="H119" i="4"/>
  <c r="D618" i="4"/>
  <c r="D609" i="4"/>
  <c r="D296" i="4"/>
  <c r="C220" i="4"/>
  <c r="D861" i="4"/>
  <c r="D292" i="4"/>
  <c r="D225" i="4"/>
  <c r="D502" i="4"/>
  <c r="D470" i="4"/>
  <c r="D273" i="4"/>
  <c r="D271" i="4" s="1"/>
  <c r="D771" i="4"/>
  <c r="D769" i="4"/>
  <c r="D340" i="4"/>
  <c r="D341" i="4"/>
  <c r="D717" i="4" l="1"/>
  <c r="D708" i="4"/>
  <c r="D706" i="4" s="1"/>
  <c r="D449" i="4"/>
  <c r="D445" i="4" s="1"/>
  <c r="D419" i="4"/>
  <c r="D439" i="4"/>
  <c r="D436" i="4"/>
  <c r="D433" i="4"/>
  <c r="D415" i="4"/>
  <c r="D387" i="4"/>
  <c r="D388" i="4"/>
  <c r="D469" i="4"/>
  <c r="D406" i="4"/>
  <c r="D400" i="4"/>
  <c r="H231" i="4"/>
  <c r="D217" i="4"/>
  <c r="D215" i="4" s="1"/>
  <c r="D343" i="4"/>
  <c r="D342" i="4" s="1"/>
  <c r="D763" i="4"/>
  <c r="D676" i="4"/>
  <c r="D374" i="4"/>
  <c r="D338" i="4"/>
  <c r="D339" i="4"/>
  <c r="D560" i="4"/>
  <c r="D559" i="4"/>
  <c r="D574" i="4"/>
  <c r="D549" i="4"/>
  <c r="D532" i="4"/>
  <c r="D534" i="4"/>
  <c r="D526" i="4"/>
  <c r="D518" i="4"/>
  <c r="D537" i="4"/>
  <c r="I285" i="4"/>
  <c r="H285" i="4"/>
  <c r="I284" i="4"/>
  <c r="H284" i="4"/>
  <c r="H235" i="4"/>
  <c r="H234" i="4"/>
  <c r="D834" i="4"/>
  <c r="D822" i="4"/>
  <c r="D576" i="4"/>
  <c r="D399" i="4"/>
  <c r="D819" i="4"/>
  <c r="D821" i="4"/>
  <c r="H708" i="4"/>
  <c r="D462" i="4"/>
  <c r="D293" i="4"/>
  <c r="D373" i="4" l="1"/>
  <c r="D786" i="4"/>
  <c r="D378" i="4"/>
  <c r="D783" i="4"/>
  <c r="D756" i="4"/>
  <c r="D782" i="4"/>
  <c r="D369" i="4"/>
  <c r="D513" i="4"/>
  <c r="D522" i="4"/>
  <c r="D554" i="4"/>
  <c r="D555" i="4"/>
  <c r="I100" i="4"/>
  <c r="G100" i="4"/>
  <c r="H100" i="4"/>
  <c r="D542" i="4"/>
  <c r="D543" i="4"/>
  <c r="D544" i="4"/>
  <c r="H291" i="4"/>
  <c r="H290" i="4"/>
  <c r="H243" i="4"/>
  <c r="H242" i="4"/>
  <c r="D211" i="4"/>
  <c r="D868" i="4"/>
  <c r="I867" i="4"/>
  <c r="D867" i="4"/>
  <c r="H867" i="4" s="1"/>
  <c r="H143" i="4"/>
  <c r="D567" i="4"/>
  <c r="H250" i="4"/>
  <c r="D789" i="4"/>
  <c r="D163" i="4"/>
  <c r="D653" i="4"/>
  <c r="D658" i="4"/>
  <c r="H336" i="4"/>
  <c r="D569" i="4"/>
  <c r="D335" i="4"/>
  <c r="H230" i="4"/>
  <c r="D398" i="4"/>
  <c r="D401" i="4"/>
  <c r="D414" i="4"/>
  <c r="D662" i="4"/>
  <c r="D58" i="4"/>
  <c r="D197" i="4"/>
  <c r="D855" i="4"/>
  <c r="D523" i="4"/>
  <c r="D514" i="4"/>
  <c r="D512" i="4"/>
  <c r="D548" i="4"/>
  <c r="D866" i="4"/>
  <c r="H142" i="4"/>
  <c r="D267" i="4"/>
  <c r="H267" i="4" s="1"/>
  <c r="I267" i="4"/>
  <c r="D664" i="4"/>
  <c r="D268" i="4"/>
  <c r="C490" i="4"/>
  <c r="C488" i="4"/>
  <c r="C481" i="4"/>
  <c r="C476" i="4"/>
  <c r="C471" i="4"/>
  <c r="C468" i="4"/>
  <c r="C461" i="4"/>
  <c r="C457" i="4"/>
  <c r="C454" i="4"/>
  <c r="C412" i="4"/>
  <c r="C389" i="4"/>
  <c r="C385" i="4"/>
  <c r="C376" i="4"/>
  <c r="C347" i="4"/>
  <c r="C342" i="4"/>
  <c r="C332" i="4"/>
  <c r="C327" i="4"/>
  <c r="C322" i="4"/>
  <c r="C318" i="4"/>
  <c r="C384" i="4" l="1"/>
  <c r="C487" i="4"/>
  <c r="H866" i="4"/>
  <c r="C453" i="4"/>
  <c r="D131" i="4"/>
  <c r="I207" i="4"/>
  <c r="H207" i="4"/>
  <c r="D170" i="4"/>
  <c r="D456" i="4"/>
  <c r="D386" i="4"/>
  <c r="D385" i="4" s="1"/>
  <c r="D860" i="4"/>
  <c r="D59" i="4"/>
  <c r="D264" i="4"/>
  <c r="H283" i="4"/>
  <c r="H282" i="4"/>
  <c r="I237" i="4"/>
  <c r="H237" i="4"/>
  <c r="I236" i="4"/>
  <c r="H236" i="4"/>
  <c r="D533" i="4"/>
  <c r="D227" i="4"/>
  <c r="H217" i="4"/>
  <c r="D538" i="4"/>
  <c r="D655" i="4"/>
  <c r="D304" i="4"/>
  <c r="D619" i="4"/>
  <c r="D715" i="4"/>
  <c r="H717" i="4"/>
  <c r="H335" i="4"/>
  <c r="G495" i="4"/>
  <c r="D495" i="4"/>
  <c r="H495" i="4" s="1"/>
  <c r="D873" i="4" l="1"/>
  <c r="D148" i="4"/>
  <c r="D106" i="4"/>
  <c r="D112" i="4"/>
  <c r="D107" i="4"/>
  <c r="D166" i="4"/>
  <c r="D164" i="4" s="1"/>
  <c r="D84" i="4"/>
  <c r="D118" i="4"/>
  <c r="D116" i="4" s="1"/>
  <c r="D269" i="4"/>
  <c r="D262" i="4"/>
  <c r="D192" i="4"/>
  <c r="D183" i="4" s="1"/>
  <c r="D63" i="4"/>
  <c r="D61" i="4"/>
  <c r="D845" i="4"/>
  <c r="D844" i="4"/>
  <c r="D804" i="4"/>
  <c r="D796" i="4"/>
  <c r="G733" i="4"/>
  <c r="D733" i="4"/>
  <c r="H733" i="4" s="1"/>
  <c r="D732" i="4"/>
  <c r="D725" i="4"/>
  <c r="D726" i="4"/>
  <c r="D727" i="4"/>
  <c r="D485" i="4"/>
  <c r="D484" i="4"/>
  <c r="D483" i="4"/>
  <c r="D482" i="4"/>
  <c r="D489" i="4"/>
  <c r="D488" i="4" s="1"/>
  <c r="D490" i="4"/>
  <c r="D92" i="4"/>
  <c r="D85" i="4"/>
  <c r="D67" i="4"/>
  <c r="D333" i="4"/>
  <c r="H343" i="4"/>
  <c r="D360" i="4"/>
  <c r="D359" i="4" s="1"/>
  <c r="H363" i="4"/>
  <c r="D487" i="4" l="1"/>
  <c r="D481" i="4"/>
  <c r="D731" i="4"/>
  <c r="D115" i="4"/>
  <c r="D212" i="4"/>
  <c r="H249" i="4"/>
  <c r="D141" i="4"/>
  <c r="H141" i="4" s="1"/>
  <c r="I140" i="4"/>
  <c r="D140" i="4"/>
  <c r="H140" i="4" s="1"/>
  <c r="D853" i="4"/>
  <c r="D865" i="4"/>
  <c r="I864" i="4"/>
  <c r="D864" i="4"/>
  <c r="H864" i="4" s="1"/>
  <c r="D863" i="4"/>
  <c r="I863" i="4"/>
  <c r="I139" i="4"/>
  <c r="H139" i="4"/>
  <c r="C630" i="4"/>
  <c r="D630" i="4"/>
  <c r="D366" i="4"/>
  <c r="D365" i="4"/>
  <c r="D364" i="4"/>
  <c r="D418" i="4"/>
  <c r="I852" i="4"/>
  <c r="H852" i="4"/>
  <c r="I141" i="4"/>
  <c r="D247" i="4"/>
  <c r="H247" i="4" s="1"/>
  <c r="D616" i="4"/>
  <c r="H378" i="4"/>
  <c r="D334" i="4"/>
  <c r="D563" i="4"/>
  <c r="D556" i="4"/>
  <c r="G334" i="4"/>
  <c r="H863" i="4" l="1"/>
  <c r="D862" i="4"/>
  <c r="D332" i="4"/>
  <c r="D331" i="4" s="1"/>
  <c r="D362" i="4"/>
  <c r="H227" i="4"/>
  <c r="D297" i="4"/>
  <c r="G297" i="4"/>
  <c r="H856" i="4"/>
  <c r="I102" i="5"/>
  <c r="G102" i="5"/>
  <c r="G94" i="5"/>
  <c r="K92" i="5"/>
  <c r="K91" i="5"/>
  <c r="K90" i="5"/>
  <c r="K89" i="5"/>
  <c r="K88" i="5"/>
  <c r="K85" i="5"/>
  <c r="F85" i="5"/>
  <c r="K78" i="5"/>
  <c r="F78" i="5"/>
  <c r="K67" i="5"/>
  <c r="F67" i="5"/>
  <c r="K62" i="5"/>
  <c r="F62" i="5"/>
  <c r="I58" i="5"/>
  <c r="G58" i="5"/>
  <c r="I44" i="5"/>
  <c r="G44" i="5"/>
  <c r="G43" i="5"/>
  <c r="G46" i="5" s="1"/>
  <c r="G56" i="5" s="1"/>
  <c r="G57" i="5" s="1"/>
  <c r="G60" i="5" s="1"/>
  <c r="G41" i="5"/>
  <c r="I38" i="5"/>
  <c r="I41" i="5" s="1"/>
  <c r="I43" i="5" s="1"/>
  <c r="I46" i="5" s="1"/>
  <c r="I56" i="5" s="1"/>
  <c r="I57" i="5" s="1"/>
  <c r="I26" i="5"/>
  <c r="I31" i="5" s="1"/>
  <c r="I29" i="5" s="1"/>
  <c r="G26" i="5"/>
  <c r="G31" i="5" s="1"/>
  <c r="G29" i="5" s="1"/>
  <c r="I24" i="5"/>
  <c r="G24" i="5"/>
  <c r="E24" i="5"/>
  <c r="I18" i="5"/>
  <c r="I14" i="5"/>
  <c r="G14" i="5"/>
  <c r="G18" i="5" s="1"/>
  <c r="I876" i="4"/>
  <c r="I50" i="4" s="1"/>
  <c r="F50" i="4"/>
  <c r="I873" i="4"/>
  <c r="H873" i="4"/>
  <c r="D871" i="4"/>
  <c r="C873" i="4"/>
  <c r="G873" i="4" s="1"/>
  <c r="G872" i="4"/>
  <c r="I871" i="4"/>
  <c r="F871" i="4"/>
  <c r="H870" i="4"/>
  <c r="H869" i="4"/>
  <c r="H868" i="4"/>
  <c r="I862" i="4"/>
  <c r="I861" i="4"/>
  <c r="H861" i="4"/>
  <c r="G861" i="4"/>
  <c r="I860" i="4"/>
  <c r="G860" i="4"/>
  <c r="H860" i="4"/>
  <c r="I859" i="4"/>
  <c r="F859" i="4"/>
  <c r="C859" i="4"/>
  <c r="G859" i="4" s="1"/>
  <c r="I858" i="4"/>
  <c r="H858" i="4"/>
  <c r="G858" i="4"/>
  <c r="I857" i="4"/>
  <c r="H857" i="4"/>
  <c r="G857" i="4"/>
  <c r="I855" i="4"/>
  <c r="G855" i="4"/>
  <c r="H855" i="4"/>
  <c r="I854" i="4"/>
  <c r="C854" i="4"/>
  <c r="G854" i="4" s="1"/>
  <c r="I853" i="4"/>
  <c r="G853" i="4"/>
  <c r="H853" i="4"/>
  <c r="I865" i="4"/>
  <c r="H865" i="4"/>
  <c r="I851" i="4"/>
  <c r="D851" i="4"/>
  <c r="C851" i="4"/>
  <c r="I850" i="4"/>
  <c r="H850" i="4"/>
  <c r="G850" i="4"/>
  <c r="I849" i="4"/>
  <c r="I49" i="4" s="1"/>
  <c r="F49" i="4"/>
  <c r="H845" i="4"/>
  <c r="G845" i="4"/>
  <c r="H844" i="4"/>
  <c r="G844" i="4"/>
  <c r="I843" i="4"/>
  <c r="F843" i="4"/>
  <c r="D843" i="4"/>
  <c r="H843" i="4" s="1"/>
  <c r="C843" i="4"/>
  <c r="G843" i="4" s="1"/>
  <c r="H842" i="4"/>
  <c r="G842" i="4"/>
  <c r="I841" i="4"/>
  <c r="H841" i="4"/>
  <c r="G841" i="4"/>
  <c r="H840" i="4"/>
  <c r="G840" i="4"/>
  <c r="I839" i="4"/>
  <c r="H839" i="4"/>
  <c r="G839" i="4"/>
  <c r="F839" i="4"/>
  <c r="I838" i="4"/>
  <c r="I47" i="4" s="1"/>
  <c r="F838" i="4"/>
  <c r="F47" i="4" s="1"/>
  <c r="H836" i="4"/>
  <c r="G836" i="4"/>
  <c r="H835" i="4"/>
  <c r="G835" i="4"/>
  <c r="G834" i="4"/>
  <c r="H834" i="4"/>
  <c r="H833" i="4"/>
  <c r="G833" i="4"/>
  <c r="F832" i="4"/>
  <c r="C832" i="4"/>
  <c r="G832" i="4" s="1"/>
  <c r="H831" i="4"/>
  <c r="G831" i="4"/>
  <c r="I830" i="4"/>
  <c r="H830" i="4"/>
  <c r="G830" i="4"/>
  <c r="I829" i="4"/>
  <c r="D829" i="4"/>
  <c r="H829" i="4" s="1"/>
  <c r="C829" i="4"/>
  <c r="G829" i="4" s="1"/>
  <c r="I828" i="4"/>
  <c r="I827" i="4"/>
  <c r="H827" i="4"/>
  <c r="G827" i="4"/>
  <c r="G826" i="4"/>
  <c r="D826" i="4"/>
  <c r="H826" i="4" s="1"/>
  <c r="G825" i="4"/>
  <c r="D825" i="4"/>
  <c r="G824" i="4"/>
  <c r="D824" i="4"/>
  <c r="H824" i="4" s="1"/>
  <c r="G823" i="4"/>
  <c r="D823" i="4"/>
  <c r="H822" i="4"/>
  <c r="G822" i="4"/>
  <c r="H821" i="4"/>
  <c r="G821" i="4"/>
  <c r="G820" i="4"/>
  <c r="D820" i="4"/>
  <c r="H819" i="4"/>
  <c r="G819" i="4"/>
  <c r="H818" i="4"/>
  <c r="G818" i="4"/>
  <c r="H817" i="4"/>
  <c r="G817" i="4"/>
  <c r="I816" i="4"/>
  <c r="C816" i="4"/>
  <c r="C811" i="4" s="1"/>
  <c r="G811" i="4" s="1"/>
  <c r="H815" i="4"/>
  <c r="G815" i="4"/>
  <c r="I814" i="4"/>
  <c r="H814" i="4"/>
  <c r="G814" i="4"/>
  <c r="H813" i="4"/>
  <c r="G813" i="4"/>
  <c r="I812" i="4"/>
  <c r="H812" i="4"/>
  <c r="G812" i="4"/>
  <c r="I811" i="4"/>
  <c r="H810" i="4"/>
  <c r="G810" i="4"/>
  <c r="H808" i="4"/>
  <c r="G808" i="4"/>
  <c r="H807" i="4"/>
  <c r="G807" i="4"/>
  <c r="H806" i="4"/>
  <c r="G806" i="4"/>
  <c r="F805" i="4"/>
  <c r="D805" i="4"/>
  <c r="H805" i="4" s="1"/>
  <c r="C805" i="4"/>
  <c r="G805" i="4" s="1"/>
  <c r="H804" i="4"/>
  <c r="H803" i="4"/>
  <c r="G803" i="4"/>
  <c r="I802" i="4"/>
  <c r="H802" i="4"/>
  <c r="G802" i="4"/>
  <c r="H801" i="4"/>
  <c r="G801" i="4"/>
  <c r="H800" i="4"/>
  <c r="G800" i="4"/>
  <c r="H799" i="4"/>
  <c r="G799" i="4"/>
  <c r="G798" i="4"/>
  <c r="D798" i="4"/>
  <c r="H798" i="4" s="1"/>
  <c r="C797" i="4"/>
  <c r="I796" i="4"/>
  <c r="H796" i="4"/>
  <c r="G796" i="4"/>
  <c r="I795" i="4"/>
  <c r="F795" i="4"/>
  <c r="H794" i="4"/>
  <c r="G794" i="4"/>
  <c r="H793" i="4"/>
  <c r="G793" i="4"/>
  <c r="G792" i="4"/>
  <c r="D792" i="4"/>
  <c r="H791" i="4"/>
  <c r="G791" i="4"/>
  <c r="F790" i="4"/>
  <c r="C790" i="4"/>
  <c r="G790" i="4" s="1"/>
  <c r="I789" i="4"/>
  <c r="H789" i="4"/>
  <c r="G789" i="4"/>
  <c r="I788" i="4"/>
  <c r="F788" i="4"/>
  <c r="I787" i="4"/>
  <c r="F787" i="4"/>
  <c r="G786" i="4"/>
  <c r="H786" i="4"/>
  <c r="H785" i="4"/>
  <c r="G785" i="4"/>
  <c r="H784" i="4"/>
  <c r="G784" i="4"/>
  <c r="G783" i="4"/>
  <c r="I782" i="4"/>
  <c r="G782" i="4"/>
  <c r="I781" i="4"/>
  <c r="H781" i="4"/>
  <c r="G781" i="4"/>
  <c r="H780" i="4"/>
  <c r="G780" i="4"/>
  <c r="H779" i="4"/>
  <c r="G779" i="4"/>
  <c r="I778" i="4"/>
  <c r="H778" i="4"/>
  <c r="G778" i="4"/>
  <c r="H777" i="4"/>
  <c r="G777" i="4"/>
  <c r="H776" i="4"/>
  <c r="G776" i="4"/>
  <c r="I775" i="4"/>
  <c r="C775" i="4"/>
  <c r="G775" i="4" s="1"/>
  <c r="I774" i="4"/>
  <c r="H774" i="4"/>
  <c r="G774" i="4"/>
  <c r="I773" i="4"/>
  <c r="H773" i="4"/>
  <c r="G773" i="4"/>
  <c r="I772" i="4"/>
  <c r="H772" i="4"/>
  <c r="G772" i="4"/>
  <c r="I771" i="4"/>
  <c r="H771" i="4"/>
  <c r="G771" i="4"/>
  <c r="I770" i="4"/>
  <c r="D770" i="4"/>
  <c r="H770" i="4" s="1"/>
  <c r="C770" i="4"/>
  <c r="H769" i="4"/>
  <c r="G769" i="4"/>
  <c r="H768" i="4"/>
  <c r="G768" i="4"/>
  <c r="G767" i="4"/>
  <c r="D767" i="4"/>
  <c r="H767" i="4" s="1"/>
  <c r="G766" i="4"/>
  <c r="D766" i="4"/>
  <c r="H766" i="4" s="1"/>
  <c r="H765" i="4"/>
  <c r="G765" i="4"/>
  <c r="G764" i="4"/>
  <c r="D764" i="4"/>
  <c r="G763" i="4"/>
  <c r="H762" i="4"/>
  <c r="G762" i="4"/>
  <c r="H761" i="4"/>
  <c r="G761" i="4"/>
  <c r="H760" i="4"/>
  <c r="G760" i="4"/>
  <c r="I759" i="4"/>
  <c r="F759" i="4"/>
  <c r="C759" i="4"/>
  <c r="G759" i="4" s="1"/>
  <c r="I758" i="4"/>
  <c r="F758" i="4"/>
  <c r="F761" i="4" s="1"/>
  <c r="G756" i="4"/>
  <c r="I755" i="4"/>
  <c r="H755" i="4"/>
  <c r="G755" i="4"/>
  <c r="I754" i="4"/>
  <c r="H754" i="4"/>
  <c r="G754" i="4"/>
  <c r="I753" i="4"/>
  <c r="H753" i="4"/>
  <c r="G753" i="4"/>
  <c r="I752" i="4"/>
  <c r="H752" i="4"/>
  <c r="G752" i="4"/>
  <c r="H751" i="4"/>
  <c r="G751" i="4"/>
  <c r="G750" i="4"/>
  <c r="D750" i="4"/>
  <c r="D749" i="4" s="1"/>
  <c r="I749" i="4"/>
  <c r="F749" i="4"/>
  <c r="C749" i="4"/>
  <c r="G749" i="4" s="1"/>
  <c r="I748" i="4"/>
  <c r="H748" i="4"/>
  <c r="G748" i="4"/>
  <c r="I747" i="4"/>
  <c r="F747" i="4"/>
  <c r="H744" i="4"/>
  <c r="G744" i="4"/>
  <c r="H743" i="4"/>
  <c r="G743" i="4"/>
  <c r="I742" i="4"/>
  <c r="F742" i="4"/>
  <c r="D742" i="4"/>
  <c r="H742" i="4" s="1"/>
  <c r="C742" i="4"/>
  <c r="I741" i="4"/>
  <c r="H741" i="4"/>
  <c r="G741" i="4"/>
  <c r="I740" i="4"/>
  <c r="F740" i="4"/>
  <c r="G739" i="4"/>
  <c r="D739" i="4"/>
  <c r="H738" i="4"/>
  <c r="G738" i="4"/>
  <c r="F737" i="4"/>
  <c r="C737" i="4"/>
  <c r="G737" i="4" s="1"/>
  <c r="I736" i="4"/>
  <c r="H736" i="4"/>
  <c r="G736" i="4"/>
  <c r="I735" i="4"/>
  <c r="F735" i="4"/>
  <c r="H734" i="4"/>
  <c r="I732" i="4"/>
  <c r="G732" i="4"/>
  <c r="I731" i="4"/>
  <c r="F731" i="4"/>
  <c r="C731" i="4"/>
  <c r="G731" i="4" s="1"/>
  <c r="I730" i="4"/>
  <c r="F730" i="4"/>
  <c r="H729" i="4"/>
  <c r="H728" i="4"/>
  <c r="G728" i="4"/>
  <c r="D724" i="4"/>
  <c r="C727" i="4"/>
  <c r="G727" i="4" s="1"/>
  <c r="I726" i="4"/>
  <c r="H726" i="4"/>
  <c r="G726" i="4"/>
  <c r="H725" i="4"/>
  <c r="G725" i="4"/>
  <c r="I724" i="4"/>
  <c r="F724" i="4"/>
  <c r="C724" i="4"/>
  <c r="G724" i="4" s="1"/>
  <c r="I723" i="4"/>
  <c r="F723" i="4"/>
  <c r="G722" i="4"/>
  <c r="D722" i="4"/>
  <c r="H722" i="4" s="1"/>
  <c r="G721" i="4"/>
  <c r="H721" i="4"/>
  <c r="I720" i="4"/>
  <c r="H720" i="4"/>
  <c r="G720" i="4"/>
  <c r="I719" i="4"/>
  <c r="F719" i="4"/>
  <c r="C719" i="4"/>
  <c r="G719" i="4" s="1"/>
  <c r="H718" i="4"/>
  <c r="G718" i="4"/>
  <c r="I716" i="4"/>
  <c r="G716" i="4"/>
  <c r="H716" i="4"/>
  <c r="I715" i="4"/>
  <c r="C715" i="4"/>
  <c r="G715" i="4" s="1"/>
  <c r="H714" i="4"/>
  <c r="I712" i="4"/>
  <c r="G712" i="4"/>
  <c r="I711" i="4"/>
  <c r="F711" i="4"/>
  <c r="H710" i="4"/>
  <c r="G710" i="4"/>
  <c r="H709" i="4"/>
  <c r="G709" i="4"/>
  <c r="I707" i="4"/>
  <c r="G707" i="4"/>
  <c r="H707" i="4"/>
  <c r="I706" i="4"/>
  <c r="C706" i="4"/>
  <c r="G706" i="4" s="1"/>
  <c r="G705" i="4"/>
  <c r="D705" i="4"/>
  <c r="G704" i="4"/>
  <c r="D704" i="4"/>
  <c r="H703" i="4"/>
  <c r="G703" i="4"/>
  <c r="G702" i="4"/>
  <c r="D702" i="4"/>
  <c r="H702" i="4" s="1"/>
  <c r="I701" i="4"/>
  <c r="C701" i="4"/>
  <c r="H700" i="4"/>
  <c r="G697" i="4"/>
  <c r="D697" i="4"/>
  <c r="I696" i="4"/>
  <c r="I695" i="4"/>
  <c r="F695" i="4"/>
  <c r="I694" i="4"/>
  <c r="F694" i="4"/>
  <c r="I693" i="4"/>
  <c r="H693" i="4"/>
  <c r="G693" i="4"/>
  <c r="I692" i="4"/>
  <c r="I46" i="4" s="1"/>
  <c r="F692" i="4"/>
  <c r="H690" i="4"/>
  <c r="H689" i="4"/>
  <c r="D688" i="4"/>
  <c r="H688" i="4" s="1"/>
  <c r="H45" i="4" s="1"/>
  <c r="C688" i="4"/>
  <c r="C45" i="4" s="1"/>
  <c r="I687" i="4"/>
  <c r="H687" i="4"/>
  <c r="G687" i="4"/>
  <c r="I686" i="4"/>
  <c r="C686" i="4"/>
  <c r="C682" i="4" s="1"/>
  <c r="G682" i="4" s="1"/>
  <c r="I685" i="4"/>
  <c r="H685" i="4"/>
  <c r="G685" i="4"/>
  <c r="I684" i="4"/>
  <c r="G684" i="4"/>
  <c r="D684" i="4"/>
  <c r="H684" i="4" s="1"/>
  <c r="H683" i="4"/>
  <c r="G683" i="4"/>
  <c r="I682" i="4"/>
  <c r="F682" i="4"/>
  <c r="H681" i="4"/>
  <c r="G681" i="4"/>
  <c r="H680" i="4"/>
  <c r="G680" i="4"/>
  <c r="H679" i="4"/>
  <c r="G679" i="4"/>
  <c r="G678" i="4"/>
  <c r="I677" i="4"/>
  <c r="D677" i="4"/>
  <c r="H677" i="4" s="1"/>
  <c r="C677" i="4"/>
  <c r="G677" i="4" s="1"/>
  <c r="I676" i="4"/>
  <c r="G676" i="4"/>
  <c r="I675" i="4"/>
  <c r="F675" i="4"/>
  <c r="I674" i="4"/>
  <c r="H674" i="4"/>
  <c r="G674" i="4"/>
  <c r="I673" i="4"/>
  <c r="H673" i="4"/>
  <c r="I672" i="4"/>
  <c r="H672" i="4"/>
  <c r="G672" i="4"/>
  <c r="H671" i="4"/>
  <c r="G671" i="4"/>
  <c r="I670" i="4"/>
  <c r="H670" i="4"/>
  <c r="G670" i="4"/>
  <c r="I669" i="4"/>
  <c r="H669" i="4"/>
  <c r="G669" i="4"/>
  <c r="I668" i="4"/>
  <c r="H668" i="4"/>
  <c r="G668" i="4"/>
  <c r="I667" i="4"/>
  <c r="H667" i="4"/>
  <c r="G667" i="4"/>
  <c r="I666" i="4"/>
  <c r="I44" i="4" s="1"/>
  <c r="F44" i="4"/>
  <c r="I664" i="4"/>
  <c r="I43" i="4" s="1"/>
  <c r="G664" i="4"/>
  <c r="G43" i="4" s="1"/>
  <c r="H664" i="4"/>
  <c r="H43" i="4" s="1"/>
  <c r="I663" i="4"/>
  <c r="I42" i="4" s="1"/>
  <c r="G663" i="4"/>
  <c r="G42" i="4" s="1"/>
  <c r="H663" i="4"/>
  <c r="H42" i="4" s="1"/>
  <c r="I662" i="4"/>
  <c r="I41" i="4" s="1"/>
  <c r="G662" i="4"/>
  <c r="G41" i="4" s="1"/>
  <c r="I661" i="4"/>
  <c r="F661" i="4"/>
  <c r="C661" i="4"/>
  <c r="G661" i="4" s="1"/>
  <c r="I660" i="4"/>
  <c r="I40" i="4" s="1"/>
  <c r="I658" i="4"/>
  <c r="H658" i="4"/>
  <c r="H657" i="4"/>
  <c r="G657" i="4"/>
  <c r="I656" i="4"/>
  <c r="H656" i="4"/>
  <c r="G656" i="4"/>
  <c r="I655" i="4"/>
  <c r="H655" i="4"/>
  <c r="G655" i="4"/>
  <c r="I654" i="4"/>
  <c r="H654" i="4"/>
  <c r="G654" i="4"/>
  <c r="I653" i="4"/>
  <c r="H653" i="4"/>
  <c r="G653" i="4"/>
  <c r="I652" i="4"/>
  <c r="H652" i="4"/>
  <c r="G652" i="4"/>
  <c r="I651" i="4"/>
  <c r="H651" i="4"/>
  <c r="G651" i="4"/>
  <c r="I650" i="4"/>
  <c r="C650" i="4"/>
  <c r="C649" i="4" s="1"/>
  <c r="I649" i="4"/>
  <c r="I39" i="4" s="1"/>
  <c r="I648" i="4"/>
  <c r="H648" i="4"/>
  <c r="G648" i="4"/>
  <c r="H647" i="4"/>
  <c r="G647" i="4"/>
  <c r="I646" i="4"/>
  <c r="H646" i="4"/>
  <c r="G646" i="4"/>
  <c r="I645" i="4"/>
  <c r="H645" i="4"/>
  <c r="G645" i="4"/>
  <c r="I644" i="4"/>
  <c r="H644" i="4"/>
  <c r="G644" i="4"/>
  <c r="I643" i="4"/>
  <c r="F643" i="4"/>
  <c r="D643" i="4"/>
  <c r="H643" i="4" s="1"/>
  <c r="C643" i="4"/>
  <c r="G643" i="4" s="1"/>
  <c r="H642" i="4"/>
  <c r="G642" i="4"/>
  <c r="D641" i="4"/>
  <c r="H641" i="4" s="1"/>
  <c r="C641" i="4"/>
  <c r="G641" i="4" s="1"/>
  <c r="H640" i="4"/>
  <c r="G640" i="4"/>
  <c r="D639" i="4"/>
  <c r="H639" i="4" s="1"/>
  <c r="C639" i="4"/>
  <c r="G639" i="4" s="1"/>
  <c r="H638" i="4"/>
  <c r="G638" i="4"/>
  <c r="D637" i="4"/>
  <c r="H637" i="4" s="1"/>
  <c r="C637" i="4"/>
  <c r="G636" i="4"/>
  <c r="H636" i="4"/>
  <c r="C635" i="4"/>
  <c r="G635" i="4" s="1"/>
  <c r="H634" i="4"/>
  <c r="G634" i="4"/>
  <c r="D633" i="4"/>
  <c r="H633" i="4" s="1"/>
  <c r="C633" i="4"/>
  <c r="G633" i="4" s="1"/>
  <c r="G629" i="4"/>
  <c r="D629" i="4"/>
  <c r="H629" i="4" s="1"/>
  <c r="I628" i="4"/>
  <c r="H628" i="4"/>
  <c r="G628" i="4"/>
  <c r="I627" i="4"/>
  <c r="F627" i="4"/>
  <c r="C627" i="4"/>
  <c r="G627" i="4" s="1"/>
  <c r="I626" i="4"/>
  <c r="H626" i="4"/>
  <c r="G626" i="4"/>
  <c r="H625" i="4"/>
  <c r="G625" i="4"/>
  <c r="I624" i="4"/>
  <c r="H624" i="4"/>
  <c r="G624" i="4"/>
  <c r="I623" i="4"/>
  <c r="I38" i="4" s="1"/>
  <c r="F38" i="4"/>
  <c r="I622" i="4"/>
  <c r="I37" i="4" s="1"/>
  <c r="F37" i="4"/>
  <c r="I620" i="4"/>
  <c r="H620" i="4"/>
  <c r="G620" i="4"/>
  <c r="I619" i="4"/>
  <c r="D615" i="4"/>
  <c r="C619" i="4"/>
  <c r="C615" i="4" s="1"/>
  <c r="I618" i="4"/>
  <c r="H618" i="4"/>
  <c r="G618" i="4"/>
  <c r="I616" i="4"/>
  <c r="H616" i="4"/>
  <c r="G616" i="4"/>
  <c r="I615" i="4"/>
  <c r="I614" i="4"/>
  <c r="H614" i="4"/>
  <c r="G614" i="4"/>
  <c r="I613" i="4"/>
  <c r="H613" i="4"/>
  <c r="I612" i="4"/>
  <c r="I36" i="4" s="1"/>
  <c r="F36" i="4"/>
  <c r="I610" i="4"/>
  <c r="H610" i="4"/>
  <c r="G610" i="4"/>
  <c r="I609" i="4"/>
  <c r="H609" i="4"/>
  <c r="G609" i="4"/>
  <c r="I608" i="4"/>
  <c r="H608" i="4"/>
  <c r="G608" i="4"/>
  <c r="I607" i="4"/>
  <c r="H607" i="4"/>
  <c r="G607" i="4"/>
  <c r="I606" i="4"/>
  <c r="H606" i="4"/>
  <c r="C606" i="4"/>
  <c r="G606" i="4" s="1"/>
  <c r="G605" i="4"/>
  <c r="H605" i="4"/>
  <c r="I604" i="4"/>
  <c r="H604" i="4"/>
  <c r="G604" i="4"/>
  <c r="H603" i="4"/>
  <c r="G603" i="4"/>
  <c r="I602" i="4"/>
  <c r="H602" i="4"/>
  <c r="C602" i="4"/>
  <c r="G602" i="4" s="1"/>
  <c r="I601" i="4"/>
  <c r="F601" i="4"/>
  <c r="I600" i="4"/>
  <c r="H600" i="4"/>
  <c r="G600" i="4"/>
  <c r="I599" i="4"/>
  <c r="H599" i="4"/>
  <c r="G599" i="4"/>
  <c r="H598" i="4"/>
  <c r="G598" i="4"/>
  <c r="I597" i="4"/>
  <c r="H597" i="4"/>
  <c r="G597" i="4"/>
  <c r="I596" i="4"/>
  <c r="H596" i="4"/>
  <c r="G596" i="4"/>
  <c r="I595" i="4"/>
  <c r="I35" i="4" s="1"/>
  <c r="F35" i="4"/>
  <c r="I593" i="4"/>
  <c r="D591" i="4"/>
  <c r="C593" i="4"/>
  <c r="C591" i="4" s="1"/>
  <c r="I592" i="4"/>
  <c r="I591" i="4"/>
  <c r="I34" i="4" s="1"/>
  <c r="I590" i="4"/>
  <c r="G590" i="4"/>
  <c r="D581" i="4"/>
  <c r="H581" i="4" s="1"/>
  <c r="I589" i="4"/>
  <c r="H589" i="4"/>
  <c r="G589" i="4"/>
  <c r="I588" i="4"/>
  <c r="H588" i="4"/>
  <c r="G588" i="4"/>
  <c r="I587" i="4"/>
  <c r="H587" i="4"/>
  <c r="G587" i="4"/>
  <c r="I586" i="4"/>
  <c r="H586" i="4"/>
  <c r="G586" i="4"/>
  <c r="I585" i="4"/>
  <c r="H585" i="4"/>
  <c r="G585" i="4"/>
  <c r="I584" i="4"/>
  <c r="H584" i="4"/>
  <c r="G584" i="4"/>
  <c r="I583" i="4"/>
  <c r="H583" i="4"/>
  <c r="G583" i="4"/>
  <c r="I582" i="4"/>
  <c r="H582" i="4"/>
  <c r="G582" i="4"/>
  <c r="I581" i="4"/>
  <c r="F581" i="4"/>
  <c r="C581" i="4"/>
  <c r="I580" i="4"/>
  <c r="I33" i="4" s="1"/>
  <c r="I579" i="4"/>
  <c r="H579" i="4"/>
  <c r="G579" i="4"/>
  <c r="I578" i="4"/>
  <c r="D578" i="4"/>
  <c r="H578" i="4" s="1"/>
  <c r="C578" i="4"/>
  <c r="G578" i="4" s="1"/>
  <c r="G577" i="4"/>
  <c r="D577" i="4"/>
  <c r="I576" i="4"/>
  <c r="H576" i="4"/>
  <c r="C576" i="4"/>
  <c r="G576" i="4" s="1"/>
  <c r="I574" i="4"/>
  <c r="G574" i="4"/>
  <c r="H574" i="4"/>
  <c r="I573" i="4"/>
  <c r="F573" i="4"/>
  <c r="H572" i="4"/>
  <c r="G572" i="4"/>
  <c r="I571" i="4"/>
  <c r="I570" i="4"/>
  <c r="H570" i="4"/>
  <c r="G570" i="4"/>
  <c r="H569" i="4"/>
  <c r="G569" i="4"/>
  <c r="I568" i="4"/>
  <c r="F568" i="4"/>
  <c r="D568" i="4"/>
  <c r="H568" i="4" s="1"/>
  <c r="C568" i="4"/>
  <c r="G568" i="4" s="1"/>
  <c r="H567" i="4"/>
  <c r="G567" i="4"/>
  <c r="I566" i="4"/>
  <c r="H566" i="4"/>
  <c r="G566" i="4"/>
  <c r="H565" i="4"/>
  <c r="G565" i="4"/>
  <c r="I564" i="4"/>
  <c r="F564" i="4"/>
  <c r="D564" i="4"/>
  <c r="H564" i="4" s="1"/>
  <c r="C564" i="4"/>
  <c r="G564" i="4" s="1"/>
  <c r="I563" i="4"/>
  <c r="H563" i="4"/>
  <c r="G563" i="4"/>
  <c r="I562" i="4"/>
  <c r="D562" i="4"/>
  <c r="H562" i="4" s="1"/>
  <c r="C562" i="4"/>
  <c r="G562" i="4" s="1"/>
  <c r="I561" i="4"/>
  <c r="F561" i="4"/>
  <c r="I560" i="4"/>
  <c r="H560" i="4"/>
  <c r="C560" i="4"/>
  <c r="I559" i="4"/>
  <c r="G559" i="4"/>
  <c r="H559" i="4"/>
  <c r="I558" i="4"/>
  <c r="F558" i="4"/>
  <c r="I557" i="4"/>
  <c r="I32" i="4" s="1"/>
  <c r="F557" i="4"/>
  <c r="F32" i="4" s="1"/>
  <c r="G556" i="4"/>
  <c r="I555" i="4"/>
  <c r="H555" i="4"/>
  <c r="G555" i="4"/>
  <c r="H554" i="4"/>
  <c r="G554" i="4"/>
  <c r="I553" i="4"/>
  <c r="G553" i="4"/>
  <c r="H553" i="4"/>
  <c r="I552" i="4"/>
  <c r="F552" i="4"/>
  <c r="C552" i="4"/>
  <c r="C551" i="4" s="1"/>
  <c r="G551" i="4" s="1"/>
  <c r="I551" i="4"/>
  <c r="H549" i="4"/>
  <c r="C549" i="4"/>
  <c r="H548" i="4"/>
  <c r="G548" i="4"/>
  <c r="I547" i="4"/>
  <c r="G547" i="4"/>
  <c r="D547" i="4"/>
  <c r="H547" i="4" s="1"/>
  <c r="I546" i="4"/>
  <c r="F546" i="4"/>
  <c r="I544" i="4"/>
  <c r="H544" i="4"/>
  <c r="C544" i="4"/>
  <c r="G544" i="4" s="1"/>
  <c r="I543" i="4"/>
  <c r="H543" i="4"/>
  <c r="C543" i="4"/>
  <c r="G543" i="4" s="1"/>
  <c r="I542" i="4"/>
  <c r="G542" i="4"/>
  <c r="H542" i="4"/>
  <c r="I541" i="4"/>
  <c r="F541" i="4"/>
  <c r="H539" i="4"/>
  <c r="G539" i="4"/>
  <c r="H538" i="4"/>
  <c r="G538" i="4"/>
  <c r="I537" i="4"/>
  <c r="G537" i="4"/>
  <c r="I536" i="4"/>
  <c r="F536" i="4"/>
  <c r="C536" i="4"/>
  <c r="G536" i="4" s="1"/>
  <c r="H534" i="4"/>
  <c r="C534" i="4"/>
  <c r="C531" i="4" s="1"/>
  <c r="G531" i="4" s="1"/>
  <c r="G533" i="4"/>
  <c r="H533" i="4"/>
  <c r="I532" i="4"/>
  <c r="H532" i="4"/>
  <c r="G532" i="4"/>
  <c r="I531" i="4"/>
  <c r="F531" i="4"/>
  <c r="C527" i="4"/>
  <c r="I526" i="4"/>
  <c r="H526" i="4"/>
  <c r="G526" i="4"/>
  <c r="I525" i="4"/>
  <c r="H523" i="4"/>
  <c r="G523" i="4"/>
  <c r="C522" i="4"/>
  <c r="G522" i="4" s="1"/>
  <c r="I521" i="4"/>
  <c r="G521" i="4"/>
  <c r="D521" i="4"/>
  <c r="H521" i="4" s="1"/>
  <c r="I520" i="4"/>
  <c r="F520" i="4"/>
  <c r="I518" i="4"/>
  <c r="H518" i="4"/>
  <c r="G518" i="4"/>
  <c r="I517" i="4"/>
  <c r="G517" i="4"/>
  <c r="D517" i="4"/>
  <c r="D516" i="4" s="1"/>
  <c r="H516" i="4" s="1"/>
  <c r="I516" i="4"/>
  <c r="F516" i="4"/>
  <c r="C516" i="4"/>
  <c r="G516" i="4" s="1"/>
  <c r="H514" i="4"/>
  <c r="C514" i="4"/>
  <c r="H513" i="4"/>
  <c r="C513" i="4"/>
  <c r="I512" i="4"/>
  <c r="G512" i="4"/>
  <c r="I511" i="4"/>
  <c r="F511" i="4"/>
  <c r="I508" i="4"/>
  <c r="I507" i="4"/>
  <c r="C507" i="4"/>
  <c r="I506" i="4"/>
  <c r="I505" i="4"/>
  <c r="I31" i="4" s="1"/>
  <c r="F505" i="4"/>
  <c r="F31" i="4" s="1"/>
  <c r="I504" i="4"/>
  <c r="I30" i="4" s="1"/>
  <c r="H502" i="4"/>
  <c r="G502" i="4"/>
  <c r="D501" i="4"/>
  <c r="H501" i="4" s="1"/>
  <c r="H29" i="4" s="1"/>
  <c r="C501" i="4"/>
  <c r="G501" i="4" s="1"/>
  <c r="G29" i="4" s="1"/>
  <c r="I499" i="4"/>
  <c r="H499" i="4"/>
  <c r="G499" i="4"/>
  <c r="I498" i="4"/>
  <c r="H498" i="4"/>
  <c r="G498" i="4"/>
  <c r="I497" i="4"/>
  <c r="I28" i="4" s="1"/>
  <c r="F497" i="4"/>
  <c r="F28" i="4" s="1"/>
  <c r="D497" i="4"/>
  <c r="H497" i="4" s="1"/>
  <c r="H28" i="4" s="1"/>
  <c r="C497" i="4"/>
  <c r="G497" i="4" s="1"/>
  <c r="G28" i="4" s="1"/>
  <c r="H487" i="4"/>
  <c r="H27" i="4" s="1"/>
  <c r="H493" i="4"/>
  <c r="G493" i="4"/>
  <c r="I492" i="4"/>
  <c r="H492" i="4"/>
  <c r="G492" i="4"/>
  <c r="I491" i="4"/>
  <c r="H491" i="4"/>
  <c r="G491" i="4"/>
  <c r="I490" i="4"/>
  <c r="F490" i="4"/>
  <c r="G490" i="4"/>
  <c r="I489" i="4"/>
  <c r="H489" i="4"/>
  <c r="G489" i="4"/>
  <c r="I488" i="4"/>
  <c r="H488" i="4"/>
  <c r="G488" i="4"/>
  <c r="I487" i="4"/>
  <c r="I27" i="4" s="1"/>
  <c r="F487" i="4"/>
  <c r="F27" i="4" s="1"/>
  <c r="I485" i="4"/>
  <c r="H485" i="4"/>
  <c r="G485" i="4"/>
  <c r="I484" i="4"/>
  <c r="H484" i="4"/>
  <c r="G484" i="4"/>
  <c r="I483" i="4"/>
  <c r="G483" i="4"/>
  <c r="H483" i="4"/>
  <c r="I482" i="4"/>
  <c r="H482" i="4"/>
  <c r="G482" i="4"/>
  <c r="I481" i="4"/>
  <c r="I26" i="4" s="1"/>
  <c r="F481" i="4"/>
  <c r="F26" i="4" s="1"/>
  <c r="C26" i="4"/>
  <c r="G479" i="4"/>
  <c r="D479" i="4"/>
  <c r="I478" i="4"/>
  <c r="G478" i="4"/>
  <c r="D478" i="4"/>
  <c r="H478" i="4" s="1"/>
  <c r="I477" i="4"/>
  <c r="G477" i="4"/>
  <c r="D477" i="4"/>
  <c r="I476" i="4"/>
  <c r="I25" i="4" s="1"/>
  <c r="F25" i="4"/>
  <c r="G476" i="4"/>
  <c r="G25" i="4" s="1"/>
  <c r="I474" i="4"/>
  <c r="H474" i="4"/>
  <c r="G474" i="4"/>
  <c r="G473" i="4"/>
  <c r="D473" i="4"/>
  <c r="G472" i="4"/>
  <c r="D472" i="4"/>
  <c r="I471" i="4"/>
  <c r="I24" i="4" s="1"/>
  <c r="F471" i="4"/>
  <c r="F24" i="4" s="1"/>
  <c r="G471" i="4"/>
  <c r="G24" i="4" s="1"/>
  <c r="I470" i="4"/>
  <c r="G470" i="4"/>
  <c r="G469" i="4"/>
  <c r="I468" i="4"/>
  <c r="F468" i="4"/>
  <c r="G468" i="4"/>
  <c r="H467" i="4"/>
  <c r="H466" i="4"/>
  <c r="G466" i="4"/>
  <c r="H465" i="4"/>
  <c r="G465" i="4"/>
  <c r="H464" i="4"/>
  <c r="G464" i="4"/>
  <c r="G463" i="4"/>
  <c r="D463" i="4"/>
  <c r="G462" i="4"/>
  <c r="H462" i="4"/>
  <c r="I461" i="4"/>
  <c r="F461" i="4"/>
  <c r="G461" i="4"/>
  <c r="I460" i="4"/>
  <c r="G460" i="4"/>
  <c r="D460" i="4"/>
  <c r="H460" i="4" s="1"/>
  <c r="H459" i="4"/>
  <c r="G459" i="4"/>
  <c r="H458" i="4"/>
  <c r="G458" i="4"/>
  <c r="I457" i="4"/>
  <c r="F457" i="4"/>
  <c r="G457" i="4"/>
  <c r="H456" i="4"/>
  <c r="G456" i="4"/>
  <c r="H455" i="4"/>
  <c r="G455" i="4"/>
  <c r="F454" i="4"/>
  <c r="D454" i="4"/>
  <c r="G454" i="4"/>
  <c r="I453" i="4"/>
  <c r="I23" i="4" s="1"/>
  <c r="F453" i="4"/>
  <c r="F23" i="4" s="1"/>
  <c r="H452" i="4"/>
  <c r="I450" i="4"/>
  <c r="G450" i="4"/>
  <c r="H450" i="4"/>
  <c r="G449" i="4"/>
  <c r="H448" i="4"/>
  <c r="G448" i="4"/>
  <c r="I447" i="4"/>
  <c r="H447" i="4"/>
  <c r="G447" i="4"/>
  <c r="H446" i="4"/>
  <c r="G446" i="4"/>
  <c r="I445" i="4"/>
  <c r="F446" i="4"/>
  <c r="G445" i="4"/>
  <c r="I444" i="4"/>
  <c r="H444" i="4"/>
  <c r="G444" i="4"/>
  <c r="I443" i="4"/>
  <c r="D443" i="4"/>
  <c r="C443" i="4"/>
  <c r="C442" i="4" s="1"/>
  <c r="I442" i="4"/>
  <c r="I22" i="4" s="1"/>
  <c r="F22" i="4"/>
  <c r="H441" i="4"/>
  <c r="G441" i="4"/>
  <c r="I440" i="4"/>
  <c r="D440" i="4"/>
  <c r="H440" i="4" s="1"/>
  <c r="C440" i="4"/>
  <c r="G440" i="4" s="1"/>
  <c r="H439" i="4"/>
  <c r="G439" i="4"/>
  <c r="H438" i="4"/>
  <c r="G438" i="4"/>
  <c r="H437" i="4"/>
  <c r="G436" i="4"/>
  <c r="G435" i="4"/>
  <c r="D435" i="4"/>
  <c r="G433" i="4"/>
  <c r="G432" i="4"/>
  <c r="D432" i="4"/>
  <c r="H432" i="4" s="1"/>
  <c r="H431" i="4"/>
  <c r="G431" i="4"/>
  <c r="G426" i="4"/>
  <c r="D426" i="4"/>
  <c r="H426" i="4" s="1"/>
  <c r="G434" i="4"/>
  <c r="D434" i="4"/>
  <c r="H434" i="4" s="1"/>
  <c r="G430" i="4"/>
  <c r="D430" i="4"/>
  <c r="H430" i="4" s="1"/>
  <c r="H429" i="4"/>
  <c r="G429" i="4"/>
  <c r="H428" i="4"/>
  <c r="G428" i="4"/>
  <c r="H427" i="4"/>
  <c r="G427" i="4"/>
  <c r="G425" i="4"/>
  <c r="D425" i="4"/>
  <c r="H425" i="4" s="1"/>
  <c r="H424" i="4"/>
  <c r="G424" i="4"/>
  <c r="I423" i="4"/>
  <c r="H423" i="4"/>
  <c r="G423" i="4"/>
  <c r="H422" i="4"/>
  <c r="G422" i="4"/>
  <c r="H421" i="4"/>
  <c r="G421" i="4"/>
  <c r="G420" i="4"/>
  <c r="D420" i="4"/>
  <c r="H420" i="4" s="1"/>
  <c r="I419" i="4"/>
  <c r="H419" i="4"/>
  <c r="G419" i="4"/>
  <c r="I418" i="4"/>
  <c r="G418" i="4"/>
  <c r="H418" i="4"/>
  <c r="I417" i="4"/>
  <c r="G417" i="4"/>
  <c r="D417" i="4"/>
  <c r="H416" i="4"/>
  <c r="G416" i="4"/>
  <c r="G415" i="4"/>
  <c r="G414" i="4"/>
  <c r="H414" i="4"/>
  <c r="I413" i="4"/>
  <c r="G413" i="4"/>
  <c r="D413" i="4"/>
  <c r="I412" i="4"/>
  <c r="F412" i="4"/>
  <c r="G412" i="4"/>
  <c r="H411" i="4"/>
  <c r="G411" i="4"/>
  <c r="I410" i="4"/>
  <c r="H410" i="4"/>
  <c r="G410" i="4"/>
  <c r="H409" i="4"/>
  <c r="G409" i="4"/>
  <c r="H408" i="4"/>
  <c r="G408" i="4"/>
  <c r="H407" i="4"/>
  <c r="G407" i="4"/>
  <c r="H406" i="4"/>
  <c r="G406" i="4"/>
  <c r="G405" i="4"/>
  <c r="D405" i="4"/>
  <c r="D404" i="4"/>
  <c r="C404" i="4"/>
  <c r="H403" i="4"/>
  <c r="G403" i="4"/>
  <c r="H402" i="4"/>
  <c r="G402" i="4"/>
  <c r="I401" i="4"/>
  <c r="H401" i="4"/>
  <c r="G401" i="4"/>
  <c r="H400" i="4"/>
  <c r="G400" i="4"/>
  <c r="H399" i="4"/>
  <c r="G399" i="4"/>
  <c r="H398" i="4"/>
  <c r="G398" i="4"/>
  <c r="G397" i="4"/>
  <c r="H397" i="4"/>
  <c r="I396" i="4"/>
  <c r="H396" i="4"/>
  <c r="G396" i="4"/>
  <c r="I395" i="4"/>
  <c r="F396" i="4"/>
  <c r="I394" i="4"/>
  <c r="I21" i="4" s="1"/>
  <c r="F394" i="4"/>
  <c r="F21" i="4" s="1"/>
  <c r="G393" i="4"/>
  <c r="D393" i="4"/>
  <c r="H393" i="4" s="1"/>
  <c r="H392" i="4"/>
  <c r="G392" i="4"/>
  <c r="G391" i="4"/>
  <c r="D391" i="4"/>
  <c r="H391" i="4" s="1"/>
  <c r="G390" i="4"/>
  <c r="D390" i="4"/>
  <c r="I389" i="4"/>
  <c r="F389" i="4"/>
  <c r="G389" i="4"/>
  <c r="H388" i="4"/>
  <c r="G388" i="4"/>
  <c r="G387" i="4"/>
  <c r="H387" i="4"/>
  <c r="I386" i="4"/>
  <c r="G386" i="4"/>
  <c r="I385" i="4"/>
  <c r="F385" i="4"/>
  <c r="G385" i="4"/>
  <c r="I384" i="4"/>
  <c r="I20" i="4" s="1"/>
  <c r="F384" i="4"/>
  <c r="F20" i="4" s="1"/>
  <c r="I383" i="4"/>
  <c r="I19" i="4" s="1"/>
  <c r="F383" i="4"/>
  <c r="F19" i="4" s="1"/>
  <c r="H381" i="4"/>
  <c r="G381" i="4"/>
  <c r="D380" i="4"/>
  <c r="H380" i="4" s="1"/>
  <c r="C380" i="4"/>
  <c r="G380" i="4" s="1"/>
  <c r="G379" i="4"/>
  <c r="D379" i="4"/>
  <c r="H379" i="4" s="1"/>
  <c r="I377" i="4"/>
  <c r="G377" i="4"/>
  <c r="D377" i="4"/>
  <c r="I376" i="4"/>
  <c r="F376" i="4"/>
  <c r="G376" i="4"/>
  <c r="H375" i="4"/>
  <c r="G375" i="4"/>
  <c r="I374" i="4"/>
  <c r="G374" i="4"/>
  <c r="H374" i="4"/>
  <c r="H373" i="4"/>
  <c r="G373" i="4"/>
  <c r="I372" i="4"/>
  <c r="D372" i="4"/>
  <c r="C372" i="4"/>
  <c r="I371" i="4"/>
  <c r="I370" i="4"/>
  <c r="H370" i="4"/>
  <c r="G370" i="4"/>
  <c r="I369" i="4"/>
  <c r="G369" i="4"/>
  <c r="H369" i="4"/>
  <c r="I368" i="4"/>
  <c r="D368" i="4"/>
  <c r="D367" i="4" s="1"/>
  <c r="C368" i="4"/>
  <c r="C367" i="4" s="1"/>
  <c r="I367" i="4"/>
  <c r="F367" i="4"/>
  <c r="I366" i="4"/>
  <c r="H366" i="4"/>
  <c r="G366" i="4"/>
  <c r="I365" i="4"/>
  <c r="H365" i="4"/>
  <c r="G365" i="4"/>
  <c r="I364" i="4"/>
  <c r="C364" i="4"/>
  <c r="C362" i="4" s="1"/>
  <c r="I362" i="4"/>
  <c r="I361" i="4"/>
  <c r="H361" i="4"/>
  <c r="G361" i="4"/>
  <c r="H360" i="4"/>
  <c r="C360" i="4"/>
  <c r="I359" i="4"/>
  <c r="F359" i="4"/>
  <c r="I358" i="4"/>
  <c r="C358" i="4"/>
  <c r="G358" i="4" s="1"/>
  <c r="I357" i="4"/>
  <c r="I356" i="4"/>
  <c r="I18" i="4" s="1"/>
  <c r="F356" i="4"/>
  <c r="F18" i="4" s="1"/>
  <c r="I355" i="4"/>
  <c r="D355" i="4"/>
  <c r="D351" i="4" s="1"/>
  <c r="C355" i="4"/>
  <c r="H354" i="4"/>
  <c r="G354" i="4"/>
  <c r="I353" i="4"/>
  <c r="H353" i="4"/>
  <c r="G353" i="4"/>
  <c r="H352" i="4"/>
  <c r="G352" i="4"/>
  <c r="I351" i="4"/>
  <c r="F351" i="4"/>
  <c r="I350" i="4"/>
  <c r="I17" i="4" s="1"/>
  <c r="I349" i="4"/>
  <c r="H349" i="4"/>
  <c r="G349" i="4"/>
  <c r="H348" i="4"/>
  <c r="G348" i="4"/>
  <c r="I347" i="4"/>
  <c r="F347" i="4"/>
  <c r="D347" i="4"/>
  <c r="H347" i="4" s="1"/>
  <c r="G347" i="4"/>
  <c r="H346" i="4"/>
  <c r="H345" i="4"/>
  <c r="G345" i="4"/>
  <c r="H344" i="4"/>
  <c r="G344" i="4"/>
  <c r="I342" i="4"/>
  <c r="H342" i="4"/>
  <c r="G342" i="4"/>
  <c r="I341" i="4"/>
  <c r="H341" i="4"/>
  <c r="C341" i="4"/>
  <c r="C331" i="4" s="1"/>
  <c r="I340" i="4"/>
  <c r="G340" i="4"/>
  <c r="H340" i="4"/>
  <c r="I339" i="4"/>
  <c r="G339" i="4"/>
  <c r="H339" i="4"/>
  <c r="I338" i="4"/>
  <c r="G338" i="4"/>
  <c r="H338" i="4"/>
  <c r="H337" i="4"/>
  <c r="G333" i="4"/>
  <c r="H332" i="4"/>
  <c r="G332" i="4"/>
  <c r="I331" i="4"/>
  <c r="I330" i="4"/>
  <c r="I16" i="4" s="1"/>
  <c r="F330" i="4"/>
  <c r="F16" i="4" s="1"/>
  <c r="H329" i="4"/>
  <c r="G329" i="4"/>
  <c r="H328" i="4"/>
  <c r="G328" i="4"/>
  <c r="F327" i="4"/>
  <c r="H327" i="4"/>
  <c r="G327" i="4"/>
  <c r="H326" i="4"/>
  <c r="G326" i="4"/>
  <c r="I325" i="4"/>
  <c r="H325" i="4"/>
  <c r="G325" i="4"/>
  <c r="I324" i="4"/>
  <c r="H324" i="4"/>
  <c r="G324" i="4"/>
  <c r="I323" i="4"/>
  <c r="H323" i="4"/>
  <c r="G323" i="4"/>
  <c r="I322" i="4"/>
  <c r="I15" i="4" s="1"/>
  <c r="F322" i="4"/>
  <c r="H322" i="4"/>
  <c r="H15" i="4" s="1"/>
  <c r="G322" i="4"/>
  <c r="G15" i="4" s="1"/>
  <c r="H321" i="4"/>
  <c r="G321" i="4"/>
  <c r="H320" i="4"/>
  <c r="G320" i="4"/>
  <c r="H319" i="4"/>
  <c r="G319" i="4"/>
  <c r="H318" i="4"/>
  <c r="G318" i="4"/>
  <c r="I317" i="4"/>
  <c r="I316" i="4"/>
  <c r="I14" i="4" s="1"/>
  <c r="F316" i="4"/>
  <c r="F14" i="4" s="1"/>
  <c r="I313" i="4"/>
  <c r="I9" i="4" s="1"/>
  <c r="F313" i="4"/>
  <c r="F9" i="4" s="1"/>
  <c r="H308" i="4"/>
  <c r="G308" i="4"/>
  <c r="D307" i="4"/>
  <c r="C307" i="4"/>
  <c r="G307" i="4" s="1"/>
  <c r="H306" i="4"/>
  <c r="G306" i="4"/>
  <c r="H305" i="4"/>
  <c r="G305" i="4"/>
  <c r="I304" i="4"/>
  <c r="G304" i="4"/>
  <c r="I8" i="4"/>
  <c r="F303" i="4"/>
  <c r="F8" i="4" s="1"/>
  <c r="I301" i="4"/>
  <c r="I7" i="4" s="1"/>
  <c r="F301" i="4"/>
  <c r="F7" i="4" s="1"/>
  <c r="G296" i="4"/>
  <c r="G295" i="4"/>
  <c r="D295" i="4"/>
  <c r="I294" i="4"/>
  <c r="F294" i="4"/>
  <c r="C294" i="4"/>
  <c r="G294" i="4" s="1"/>
  <c r="G293" i="4"/>
  <c r="H289" i="4"/>
  <c r="H288" i="4"/>
  <c r="H287" i="4"/>
  <c r="H286" i="4"/>
  <c r="D281" i="4"/>
  <c r="D278" i="4" s="1"/>
  <c r="G280" i="4"/>
  <c r="G279" i="4"/>
  <c r="I278" i="4"/>
  <c r="F278" i="4"/>
  <c r="C278" i="4"/>
  <c r="G278" i="4" s="1"/>
  <c r="H275" i="4"/>
  <c r="G275" i="4"/>
  <c r="H274" i="4"/>
  <c r="G274" i="4"/>
  <c r="G273" i="4"/>
  <c r="H272" i="4"/>
  <c r="G272" i="4"/>
  <c r="H271" i="4"/>
  <c r="C271" i="4"/>
  <c r="G271" i="4" s="1"/>
  <c r="I270" i="4"/>
  <c r="H270" i="4"/>
  <c r="G270" i="4"/>
  <c r="I268" i="4"/>
  <c r="H268" i="4"/>
  <c r="H266" i="4"/>
  <c r="I265" i="4"/>
  <c r="D265" i="4"/>
  <c r="I264" i="4"/>
  <c r="H264" i="4"/>
  <c r="I263" i="4"/>
  <c r="C263" i="4"/>
  <c r="I260" i="4"/>
  <c r="H260" i="4"/>
  <c r="H259" i="4"/>
  <c r="H257" i="4"/>
  <c r="G257" i="4"/>
  <c r="I256" i="4"/>
  <c r="H256" i="4"/>
  <c r="G256" i="4"/>
  <c r="I255" i="4"/>
  <c r="H254" i="4"/>
  <c r="G254" i="4"/>
  <c r="I253" i="4"/>
  <c r="G253" i="4"/>
  <c r="D253" i="4"/>
  <c r="I252" i="4"/>
  <c r="C252" i="4"/>
  <c r="G252" i="4" s="1"/>
  <c r="H251" i="4"/>
  <c r="D248" i="4"/>
  <c r="H248" i="4" s="1"/>
  <c r="D246" i="4"/>
  <c r="H246" i="4" s="1"/>
  <c r="I245" i="4"/>
  <c r="H245" i="4"/>
  <c r="H241" i="4"/>
  <c r="H240" i="4"/>
  <c r="H239" i="4"/>
  <c r="H238" i="4"/>
  <c r="H232" i="4"/>
  <c r="H229" i="4"/>
  <c r="I228" i="4"/>
  <c r="G228" i="4"/>
  <c r="D228" i="4"/>
  <c r="I227" i="4"/>
  <c r="G227" i="4"/>
  <c r="I226" i="4"/>
  <c r="G225" i="4"/>
  <c r="I224" i="4"/>
  <c r="C224" i="4"/>
  <c r="G224" i="4" s="1"/>
  <c r="I219" i="4"/>
  <c r="D219" i="4"/>
  <c r="C219" i="4"/>
  <c r="G219" i="4" s="1"/>
  <c r="H218" i="4"/>
  <c r="H216" i="4"/>
  <c r="C215" i="4"/>
  <c r="I214" i="4"/>
  <c r="I6" i="4" s="1"/>
  <c r="F6" i="4"/>
  <c r="D210" i="4"/>
  <c r="D209" i="4" s="1"/>
  <c r="F209" i="4"/>
  <c r="C209" i="4"/>
  <c r="G209" i="4" s="1"/>
  <c r="I208" i="4"/>
  <c r="G208" i="4"/>
  <c r="G204" i="4"/>
  <c r="H203" i="4"/>
  <c r="G203" i="4"/>
  <c r="H202" i="4"/>
  <c r="G202" i="4"/>
  <c r="H201" i="4"/>
  <c r="G201" i="4"/>
  <c r="D200" i="4"/>
  <c r="C200" i="4"/>
  <c r="H199" i="4"/>
  <c r="G199" i="4"/>
  <c r="I197" i="4"/>
  <c r="H197" i="4"/>
  <c r="C197" i="4"/>
  <c r="I196" i="4"/>
  <c r="I5" i="4" s="1"/>
  <c r="F5" i="4"/>
  <c r="I194" i="4"/>
  <c r="I193" i="4"/>
  <c r="I191" i="4"/>
  <c r="I190" i="4"/>
  <c r="I189" i="4"/>
  <c r="H189" i="4"/>
  <c r="G189" i="4"/>
  <c r="I188" i="4"/>
  <c r="H188" i="4"/>
  <c r="G188" i="4"/>
  <c r="I187" i="4"/>
  <c r="H187" i="4"/>
  <c r="G187" i="4"/>
  <c r="I185" i="4"/>
  <c r="I183" i="4"/>
  <c r="H183" i="4"/>
  <c r="C183" i="4"/>
  <c r="G183" i="4" s="1"/>
  <c r="I182" i="4"/>
  <c r="I181" i="4"/>
  <c r="H181" i="4"/>
  <c r="G181" i="4"/>
  <c r="I180" i="4"/>
  <c r="I179" i="4"/>
  <c r="H179" i="4"/>
  <c r="G179" i="4"/>
  <c r="I178" i="4"/>
  <c r="H178" i="4"/>
  <c r="G178" i="4"/>
  <c r="I175" i="4"/>
  <c r="I174" i="4"/>
  <c r="H174" i="4"/>
  <c r="G174" i="4"/>
  <c r="I173" i="4"/>
  <c r="H173" i="4"/>
  <c r="G173" i="4"/>
  <c r="I171" i="4"/>
  <c r="H171" i="4"/>
  <c r="G171" i="4"/>
  <c r="I170" i="4"/>
  <c r="G170" i="4"/>
  <c r="I168" i="4"/>
  <c r="H168" i="4"/>
  <c r="G168" i="4"/>
  <c r="I167" i="4"/>
  <c r="H167" i="4"/>
  <c r="G167" i="4"/>
  <c r="I166" i="4"/>
  <c r="H166" i="4"/>
  <c r="G166" i="4"/>
  <c r="H165" i="4"/>
  <c r="I164" i="4"/>
  <c r="F164" i="4"/>
  <c r="F165" i="4" s="1"/>
  <c r="C164" i="4"/>
  <c r="G164" i="4" s="1"/>
  <c r="I163" i="4"/>
  <c r="H163" i="4"/>
  <c r="I162" i="4"/>
  <c r="G162" i="4"/>
  <c r="H162" i="4"/>
  <c r="I161" i="4"/>
  <c r="D161" i="4"/>
  <c r="H161" i="4" s="1"/>
  <c r="I154" i="4"/>
  <c r="I152" i="4"/>
  <c r="D152" i="4"/>
  <c r="H152" i="4" s="1"/>
  <c r="I151" i="4"/>
  <c r="D151" i="4"/>
  <c r="H151" i="4" s="1"/>
  <c r="I150" i="4"/>
  <c r="H150" i="4"/>
  <c r="I149" i="4"/>
  <c r="H149" i="4"/>
  <c r="I147" i="4"/>
  <c r="H147" i="4"/>
  <c r="I146" i="4"/>
  <c r="H146" i="4"/>
  <c r="D145" i="4"/>
  <c r="H145" i="4" s="1"/>
  <c r="H144" i="4"/>
  <c r="I138" i="4"/>
  <c r="D138" i="4"/>
  <c r="H138" i="4" s="1"/>
  <c r="I137" i="4"/>
  <c r="D137" i="4"/>
  <c r="I136" i="4"/>
  <c r="D136" i="4"/>
  <c r="I135" i="4"/>
  <c r="C135" i="4"/>
  <c r="I134" i="4"/>
  <c r="D134" i="4"/>
  <c r="H134" i="4" s="1"/>
  <c r="I132" i="4"/>
  <c r="H132" i="4"/>
  <c r="G132" i="4"/>
  <c r="I131" i="4"/>
  <c r="H131" i="4"/>
  <c r="G131" i="4"/>
  <c r="I130" i="4"/>
  <c r="H130" i="4"/>
  <c r="G130" i="4"/>
  <c r="H127" i="4"/>
  <c r="H116" i="4"/>
  <c r="H120" i="4"/>
  <c r="I118" i="4"/>
  <c r="H118" i="4"/>
  <c r="G118" i="4"/>
  <c r="I117" i="4"/>
  <c r="H117" i="4"/>
  <c r="G117" i="4"/>
  <c r="I116" i="4"/>
  <c r="F116" i="4"/>
  <c r="C116" i="4"/>
  <c r="I115" i="4"/>
  <c r="H115" i="4"/>
  <c r="G115" i="4"/>
  <c r="I114" i="4"/>
  <c r="H114" i="4"/>
  <c r="G114" i="4"/>
  <c r="I113" i="4"/>
  <c r="H113" i="4"/>
  <c r="G113" i="4"/>
  <c r="I112" i="4"/>
  <c r="H112" i="4"/>
  <c r="G112" i="4"/>
  <c r="I111" i="4"/>
  <c r="D111" i="4"/>
  <c r="H111" i="4" s="1"/>
  <c r="C111" i="4"/>
  <c r="G111" i="4" s="1"/>
  <c r="I110" i="4"/>
  <c r="H110" i="4"/>
  <c r="G110" i="4"/>
  <c r="I109" i="4"/>
  <c r="D109" i="4"/>
  <c r="C109" i="4"/>
  <c r="G109" i="4" s="1"/>
  <c r="I108" i="4"/>
  <c r="G108" i="4"/>
  <c r="D108" i="4"/>
  <c r="I107" i="4"/>
  <c r="G107" i="4"/>
  <c r="H107" i="4"/>
  <c r="I106" i="4"/>
  <c r="H106" i="4"/>
  <c r="G106" i="4"/>
  <c r="I105" i="4"/>
  <c r="I104" i="4"/>
  <c r="H104" i="4"/>
  <c r="G104" i="4"/>
  <c r="I103" i="4"/>
  <c r="F103" i="4"/>
  <c r="I102" i="4"/>
  <c r="H102" i="4"/>
  <c r="G102" i="4"/>
  <c r="H101" i="4"/>
  <c r="I99" i="4"/>
  <c r="H99" i="4"/>
  <c r="G99" i="4"/>
  <c r="I98" i="4"/>
  <c r="H98" i="4"/>
  <c r="G98" i="4"/>
  <c r="H97" i="4"/>
  <c r="G97" i="4"/>
  <c r="I96" i="4"/>
  <c r="H96" i="4"/>
  <c r="G96" i="4"/>
  <c r="I95" i="4"/>
  <c r="H95" i="4"/>
  <c r="G95" i="4"/>
  <c r="I94" i="4"/>
  <c r="G94" i="4"/>
  <c r="D94" i="4"/>
  <c r="H94" i="4" s="1"/>
  <c r="I93" i="4"/>
  <c r="G93" i="4"/>
  <c r="D93" i="4"/>
  <c r="I92" i="4"/>
  <c r="H92" i="4"/>
  <c r="G92" i="4"/>
  <c r="I91" i="4"/>
  <c r="H91" i="4"/>
  <c r="G91" i="4"/>
  <c r="I89" i="4"/>
  <c r="C89" i="4"/>
  <c r="G89" i="4" s="1"/>
  <c r="I88" i="4"/>
  <c r="I4" i="4" s="1"/>
  <c r="F88" i="4"/>
  <c r="F4" i="4" s="1"/>
  <c r="I86" i="4"/>
  <c r="H86" i="4"/>
  <c r="G86" i="4"/>
  <c r="I85" i="4"/>
  <c r="H85" i="4"/>
  <c r="G85" i="4"/>
  <c r="I83" i="4"/>
  <c r="H83" i="4"/>
  <c r="I81" i="4"/>
  <c r="H81" i="4"/>
  <c r="G81" i="4"/>
  <c r="I80" i="4"/>
  <c r="H80" i="4"/>
  <c r="G80" i="4"/>
  <c r="I79" i="4"/>
  <c r="H79" i="4"/>
  <c r="G79" i="4"/>
  <c r="I78" i="4"/>
  <c r="H78" i="4"/>
  <c r="G78" i="4"/>
  <c r="I77" i="4"/>
  <c r="H77" i="4"/>
  <c r="G77" i="4"/>
  <c r="I76" i="4"/>
  <c r="H76" i="4"/>
  <c r="G76" i="4"/>
  <c r="I75" i="4"/>
  <c r="F75" i="4"/>
  <c r="D75" i="4"/>
  <c r="H75" i="4" s="1"/>
  <c r="C75" i="4"/>
  <c r="G75" i="4" s="1"/>
  <c r="I74" i="4"/>
  <c r="H74" i="4"/>
  <c r="G74" i="4"/>
  <c r="I73" i="4"/>
  <c r="H73" i="4"/>
  <c r="G73" i="4"/>
  <c r="I72" i="4"/>
  <c r="H72" i="4"/>
  <c r="G72" i="4"/>
  <c r="I71" i="4"/>
  <c r="H71" i="4"/>
  <c r="G71" i="4"/>
  <c r="I70" i="4"/>
  <c r="D70" i="4"/>
  <c r="H70" i="4" s="1"/>
  <c r="C70" i="4"/>
  <c r="G70" i="4" s="1"/>
  <c r="I69" i="4"/>
  <c r="H69" i="4"/>
  <c r="G69" i="4"/>
  <c r="I68" i="4"/>
  <c r="H68" i="4"/>
  <c r="G68" i="4"/>
  <c r="I67" i="4"/>
  <c r="H67" i="4"/>
  <c r="G67" i="4"/>
  <c r="I66" i="4"/>
  <c r="F66" i="4"/>
  <c r="D66" i="4"/>
  <c r="H66" i="4" s="1"/>
  <c r="C66" i="4"/>
  <c r="G66" i="4" s="1"/>
  <c r="I65" i="4"/>
  <c r="H65" i="4"/>
  <c r="G65" i="4"/>
  <c r="I64" i="4"/>
  <c r="H64" i="4"/>
  <c r="G64" i="4"/>
  <c r="I63" i="4"/>
  <c r="I62" i="4"/>
  <c r="G62" i="4"/>
  <c r="D62" i="4"/>
  <c r="H62" i="4" s="1"/>
  <c r="I61" i="4"/>
  <c r="H61" i="4"/>
  <c r="G61" i="4"/>
  <c r="I60" i="4"/>
  <c r="D60" i="4"/>
  <c r="H60" i="4" s="1"/>
  <c r="C60" i="4"/>
  <c r="G60" i="4" s="1"/>
  <c r="I59" i="4"/>
  <c r="G59" i="4"/>
  <c r="H59" i="4"/>
  <c r="I58" i="4"/>
  <c r="H58" i="4"/>
  <c r="C58" i="4"/>
  <c r="I57" i="4"/>
  <c r="G57" i="4"/>
  <c r="D57" i="4"/>
  <c r="H57" i="4" s="1"/>
  <c r="I56" i="4"/>
  <c r="D56" i="4"/>
  <c r="H56" i="4" s="1"/>
  <c r="C56" i="4"/>
  <c r="G56" i="4" s="1"/>
  <c r="I55" i="4"/>
  <c r="D55" i="4"/>
  <c r="H55" i="4" s="1"/>
  <c r="C55" i="4"/>
  <c r="I54" i="4"/>
  <c r="D54" i="4"/>
  <c r="C54" i="4"/>
  <c r="I3" i="4"/>
  <c r="F3" i="4"/>
  <c r="E50" i="4"/>
  <c r="E49" i="4"/>
  <c r="F48" i="4"/>
  <c r="E48" i="4"/>
  <c r="D48" i="4"/>
  <c r="C48" i="4"/>
  <c r="E47" i="4"/>
  <c r="E46" i="4"/>
  <c r="I45" i="4"/>
  <c r="G45" i="4"/>
  <c r="F45" i="4"/>
  <c r="E45" i="4"/>
  <c r="E44" i="4"/>
  <c r="F43" i="4"/>
  <c r="E43" i="4"/>
  <c r="C43" i="4"/>
  <c r="F42" i="4"/>
  <c r="E42" i="4"/>
  <c r="C42" i="4"/>
  <c r="F41" i="4"/>
  <c r="E41" i="4"/>
  <c r="D41" i="4"/>
  <c r="C41" i="4"/>
  <c r="F40" i="4"/>
  <c r="E40" i="4"/>
  <c r="F39" i="4"/>
  <c r="E39" i="4"/>
  <c r="E38" i="4"/>
  <c r="E37" i="4"/>
  <c r="E36" i="4"/>
  <c r="E35" i="4"/>
  <c r="F34" i="4"/>
  <c r="E34" i="4"/>
  <c r="F33" i="4"/>
  <c r="E33" i="4"/>
  <c r="E32" i="4"/>
  <c r="E31" i="4"/>
  <c r="F30" i="4"/>
  <c r="E30" i="4"/>
  <c r="I29" i="4"/>
  <c r="F29" i="4"/>
  <c r="E29" i="4"/>
  <c r="E28" i="4"/>
  <c r="E27" i="4"/>
  <c r="E26" i="4"/>
  <c r="E25" i="4"/>
  <c r="E24" i="4"/>
  <c r="E23" i="4"/>
  <c r="E22" i="4"/>
  <c r="E21" i="4"/>
  <c r="E20" i="4"/>
  <c r="E19" i="4"/>
  <c r="E18" i="4"/>
  <c r="F17" i="4"/>
  <c r="E17" i="4"/>
  <c r="E16" i="4"/>
  <c r="E15" i="4"/>
  <c r="E14" i="4"/>
  <c r="H12" i="4"/>
  <c r="G12" i="4"/>
  <c r="K10" i="4"/>
  <c r="E9" i="4"/>
  <c r="E880" i="4" s="1"/>
  <c r="E8" i="4"/>
  <c r="E7" i="4"/>
  <c r="E6" i="4"/>
  <c r="E5" i="4"/>
  <c r="E4" i="4"/>
  <c r="E3" i="4"/>
  <c r="C871" i="4" l="1"/>
  <c r="G871" i="4" s="1"/>
  <c r="H851" i="4"/>
  <c r="G96" i="5"/>
  <c r="F46" i="4"/>
  <c r="F693" i="4"/>
  <c r="D224" i="4"/>
  <c r="H697" i="4"/>
  <c r="D696" i="4"/>
  <c r="G701" i="4"/>
  <c r="C695" i="4"/>
  <c r="H706" i="4"/>
  <c r="I60" i="5"/>
  <c r="I96" i="5" s="1"/>
  <c r="F880" i="4"/>
  <c r="G650" i="4"/>
  <c r="C28" i="4"/>
  <c r="G54" i="4"/>
  <c r="C53" i="4"/>
  <c r="H108" i="4"/>
  <c r="D103" i="4"/>
  <c r="H200" i="4"/>
  <c r="D198" i="4"/>
  <c r="D196" i="4" s="1"/>
  <c r="H253" i="4"/>
  <c r="D252" i="4"/>
  <c r="H307" i="4"/>
  <c r="D303" i="4"/>
  <c r="H303" i="4" s="1"/>
  <c r="H8" i="4" s="1"/>
  <c r="H477" i="4"/>
  <c r="D476" i="4"/>
  <c r="H377" i="4"/>
  <c r="D376" i="4"/>
  <c r="H376" i="4" s="1"/>
  <c r="H443" i="4"/>
  <c r="D442" i="4"/>
  <c r="D53" i="4"/>
  <c r="D89" i="4"/>
  <c r="H136" i="4"/>
  <c r="D135" i="4"/>
  <c r="H135" i="4" s="1"/>
  <c r="H390" i="4"/>
  <c r="D389" i="4"/>
  <c r="D384" i="4" s="1"/>
  <c r="H454" i="4"/>
  <c r="H372" i="4"/>
  <c r="D371" i="4"/>
  <c r="H371" i="4" s="1"/>
  <c r="H265" i="4"/>
  <c r="D263" i="4"/>
  <c r="H295" i="4"/>
  <c r="D294" i="4"/>
  <c r="H294" i="4" s="1"/>
  <c r="H404" i="4"/>
  <c r="D395" i="4"/>
  <c r="H413" i="4"/>
  <c r="D412" i="4"/>
  <c r="H412" i="4" s="1"/>
  <c r="H463" i="4"/>
  <c r="D461" i="4"/>
  <c r="D330" i="4"/>
  <c r="H281" i="4"/>
  <c r="H278" i="4"/>
  <c r="G404" i="4"/>
  <c r="C395" i="4"/>
  <c r="C394" i="4" s="1"/>
  <c r="G355" i="4"/>
  <c r="C351" i="4"/>
  <c r="C350" i="4" s="1"/>
  <c r="G360" i="4"/>
  <c r="C359" i="4"/>
  <c r="G359" i="4" s="1"/>
  <c r="G372" i="4"/>
  <c r="C371" i="4"/>
  <c r="G371" i="4" s="1"/>
  <c r="G443" i="4"/>
  <c r="C357" i="4"/>
  <c r="H712" i="4"/>
  <c r="D828" i="4"/>
  <c r="H828" i="4" s="1"/>
  <c r="H215" i="4"/>
  <c r="C24" i="4"/>
  <c r="G364" i="4"/>
  <c r="D573" i="4"/>
  <c r="D571" i="4" s="1"/>
  <c r="H571" i="4" s="1"/>
  <c r="D580" i="4"/>
  <c r="H580" i="4" s="1"/>
  <c r="H33" i="4" s="1"/>
  <c r="G851" i="4"/>
  <c r="D627" i="4"/>
  <c r="H445" i="4"/>
  <c r="H862" i="4"/>
  <c r="D27" i="4"/>
  <c r="D28" i="4"/>
  <c r="C29" i="4"/>
  <c r="H126" i="4"/>
  <c r="D508" i="4"/>
  <c r="H508" i="4" s="1"/>
  <c r="D552" i="4"/>
  <c r="H552" i="4" s="1"/>
  <c r="H715" i="4"/>
  <c r="C103" i="4"/>
  <c r="G103" i="4" s="1"/>
  <c r="D859" i="4"/>
  <c r="H859" i="4" s="1"/>
  <c r="H593" i="4"/>
  <c r="D740" i="4"/>
  <c r="H740" i="4" s="1"/>
  <c r="D29" i="4"/>
  <c r="D531" i="4"/>
  <c r="H531" i="4" s="1"/>
  <c r="C675" i="4"/>
  <c r="G675" i="4" s="1"/>
  <c r="D592" i="4"/>
  <c r="H592" i="4" s="1"/>
  <c r="H367" i="4"/>
  <c r="D558" i="4"/>
  <c r="H558" i="4" s="1"/>
  <c r="D682" i="4"/>
  <c r="H682" i="4" s="1"/>
  <c r="G591" i="4"/>
  <c r="G34" i="4" s="1"/>
  <c r="C34" i="4"/>
  <c r="C39" i="4"/>
  <c r="G649" i="4"/>
  <c r="G39" i="4" s="1"/>
  <c r="D675" i="4"/>
  <c r="H675" i="4" s="1"/>
  <c r="C214" i="4"/>
  <c r="G214" i="4" s="1"/>
  <c r="G6" i="4" s="1"/>
  <c r="H368" i="4"/>
  <c r="D457" i="4"/>
  <c r="H457" i="4" s="1"/>
  <c r="D471" i="4"/>
  <c r="H471" i="4" s="1"/>
  <c r="H24" i="4" s="1"/>
  <c r="G481" i="4"/>
  <c r="G26" i="4" s="1"/>
  <c r="H494" i="4"/>
  <c r="H517" i="4"/>
  <c r="G552" i="4"/>
  <c r="C561" i="4"/>
  <c r="G561" i="4" s="1"/>
  <c r="D635" i="4"/>
  <c r="H635" i="4" s="1"/>
  <c r="D832" i="4"/>
  <c r="H832" i="4" s="1"/>
  <c r="C330" i="4"/>
  <c r="G816" i="4"/>
  <c r="H263" i="4"/>
  <c r="D509" i="4"/>
  <c r="H509" i="4" s="1"/>
  <c r="D601" i="4"/>
  <c r="D595" i="4" s="1"/>
  <c r="H170" i="4"/>
  <c r="H164" i="4"/>
  <c r="C198" i="4"/>
  <c r="G198" i="4" s="1"/>
  <c r="G200" i="4"/>
  <c r="G197" i="4"/>
  <c r="H93" i="4"/>
  <c r="H591" i="4"/>
  <c r="H34" i="4" s="1"/>
  <c r="D34" i="4"/>
  <c r="D45" i="4"/>
  <c r="H292" i="4"/>
  <c r="C541" i="4"/>
  <c r="G541" i="4" s="1"/>
  <c r="C711" i="4"/>
  <c r="G711" i="4" s="1"/>
  <c r="D719" i="4"/>
  <c r="H719" i="4" s="1"/>
  <c r="C735" i="4"/>
  <c r="G735" i="4" s="1"/>
  <c r="D854" i="4"/>
  <c r="H854" i="4" s="1"/>
  <c r="D43" i="4"/>
  <c r="C528" i="4"/>
  <c r="G528" i="4" s="1"/>
  <c r="D42" i="4"/>
  <c r="C303" i="4"/>
  <c r="G341" i="4"/>
  <c r="H461" i="4"/>
  <c r="G507" i="4"/>
  <c r="D546" i="4"/>
  <c r="H546" i="4" s="1"/>
  <c r="H577" i="4"/>
  <c r="G619" i="4"/>
  <c r="G686" i="4"/>
  <c r="C747" i="4"/>
  <c r="G747" i="4" s="1"/>
  <c r="D759" i="4"/>
  <c r="H759" i="4" s="1"/>
  <c r="C788" i="4"/>
  <c r="G788" i="4" s="1"/>
  <c r="D797" i="4"/>
  <c r="D838" i="4"/>
  <c r="C25" i="4"/>
  <c r="C20" i="4"/>
  <c r="H619" i="4"/>
  <c r="D650" i="4"/>
  <c r="D649" i="4" s="1"/>
  <c r="H676" i="4"/>
  <c r="H727" i="4"/>
  <c r="H871" i="4"/>
  <c r="H872" i="4"/>
  <c r="G58" i="4"/>
  <c r="H219" i="4"/>
  <c r="H228" i="4"/>
  <c r="D357" i="4"/>
  <c r="H358" i="4"/>
  <c r="H364" i="4"/>
  <c r="H362" i="4"/>
  <c r="G368" i="4"/>
  <c r="G367" i="4"/>
  <c r="H470" i="4"/>
  <c r="D468" i="4"/>
  <c r="H468" i="4" s="1"/>
  <c r="D527" i="4"/>
  <c r="H527" i="4" s="1"/>
  <c r="H537" i="4"/>
  <c r="H732" i="4"/>
  <c r="H386" i="4"/>
  <c r="H490" i="4"/>
  <c r="G514" i="4"/>
  <c r="C509" i="4"/>
  <c r="G509" i="4" s="1"/>
  <c r="D536" i="4"/>
  <c r="H536" i="4" s="1"/>
  <c r="H137" i="4"/>
  <c r="H355" i="4"/>
  <c r="C508" i="4"/>
  <c r="G513" i="4"/>
  <c r="C511" i="4"/>
  <c r="G511" i="4" s="1"/>
  <c r="H522" i="4"/>
  <c r="D520" i="4"/>
  <c r="H520" i="4" s="1"/>
  <c r="G534" i="4"/>
  <c r="C529" i="4"/>
  <c r="G549" i="4"/>
  <c r="C546" i="4"/>
  <c r="G546" i="4" s="1"/>
  <c r="H109" i="4"/>
  <c r="G116" i="4"/>
  <c r="C317" i="4"/>
  <c r="D511" i="4"/>
  <c r="H511" i="4" s="1"/>
  <c r="H512" i="4"/>
  <c r="D507" i="4"/>
  <c r="I527" i="4"/>
  <c r="F525" i="4"/>
  <c r="G527" i="4"/>
  <c r="I529" i="4"/>
  <c r="H615" i="4"/>
  <c r="D612" i="4"/>
  <c r="H359" i="4"/>
  <c r="C520" i="4"/>
  <c r="G520" i="4" s="1"/>
  <c r="D528" i="4"/>
  <c r="H528" i="4" s="1"/>
  <c r="I528" i="4"/>
  <c r="D541" i="4"/>
  <c r="H541" i="4" s="1"/>
  <c r="G560" i="4"/>
  <c r="C558" i="4"/>
  <c r="H590" i="4"/>
  <c r="C592" i="4"/>
  <c r="G592" i="4" s="1"/>
  <c r="G593" i="4"/>
  <c r="G615" i="4"/>
  <c r="C612" i="4"/>
  <c r="C623" i="4"/>
  <c r="G637" i="4"/>
  <c r="G696" i="4"/>
  <c r="D701" i="4"/>
  <c r="H704" i="4"/>
  <c r="H792" i="4"/>
  <c r="D790" i="4"/>
  <c r="G797" i="4"/>
  <c r="C795" i="4"/>
  <c r="G795" i="4" s="1"/>
  <c r="H739" i="4"/>
  <c r="D737" i="4"/>
  <c r="G742" i="4"/>
  <c r="C740" i="4"/>
  <c r="H749" i="4"/>
  <c r="D747" i="4"/>
  <c r="H747" i="4" s="1"/>
  <c r="D529" i="4"/>
  <c r="H529" i="4" s="1"/>
  <c r="G581" i="4"/>
  <c r="C580" i="4"/>
  <c r="D661" i="4"/>
  <c r="H662" i="4"/>
  <c r="H41" i="4" s="1"/>
  <c r="H724" i="4"/>
  <c r="H782" i="4"/>
  <c r="D775" i="4"/>
  <c r="H825" i="4"/>
  <c r="D816" i="4"/>
  <c r="D561" i="4"/>
  <c r="H561" i="4" s="1"/>
  <c r="C573" i="4"/>
  <c r="C601" i="4"/>
  <c r="C660" i="4"/>
  <c r="G770" i="4"/>
  <c r="C828" i="4"/>
  <c r="G828" i="4" s="1"/>
  <c r="C838" i="4"/>
  <c r="I258" i="1"/>
  <c r="G12" i="1"/>
  <c r="G11" i="1"/>
  <c r="F800" i="1"/>
  <c r="F804" i="1" s="1"/>
  <c r="D45" i="1"/>
  <c r="E45" i="1"/>
  <c r="F45" i="1"/>
  <c r="G45" i="1"/>
  <c r="H45" i="1"/>
  <c r="I45" i="1"/>
  <c r="C45" i="1"/>
  <c r="F85" i="2"/>
  <c r="F78" i="2"/>
  <c r="F67" i="2"/>
  <c r="F62" i="2"/>
  <c r="I96" i="2"/>
  <c r="F628" i="1"/>
  <c r="H686" i="1"/>
  <c r="G686" i="1"/>
  <c r="D849" i="4" l="1"/>
  <c r="H389" i="4"/>
  <c r="C849" i="4"/>
  <c r="C49" i="4" s="1"/>
  <c r="D695" i="4"/>
  <c r="H696" i="4"/>
  <c r="H198" i="4"/>
  <c r="C88" i="4"/>
  <c r="C4" i="4" s="1"/>
  <c r="C525" i="4"/>
  <c r="G525" i="4" s="1"/>
  <c r="D214" i="4"/>
  <c r="D6" i="4" s="1"/>
  <c r="D356" i="4"/>
  <c r="D453" i="4"/>
  <c r="D88" i="4"/>
  <c r="H252" i="4"/>
  <c r="G351" i="4"/>
  <c r="D8" i="4"/>
  <c r="C196" i="4"/>
  <c r="G395" i="4"/>
  <c r="C383" i="4"/>
  <c r="C19" i="4" s="1"/>
  <c r="D22" i="4"/>
  <c r="H89" i="4"/>
  <c r="G357" i="4"/>
  <c r="C356" i="4"/>
  <c r="C316" i="4" s="1"/>
  <c r="H573" i="4"/>
  <c r="H224" i="4"/>
  <c r="D551" i="4"/>
  <c r="H551" i="4" s="1"/>
  <c r="H650" i="4"/>
  <c r="D33" i="4"/>
  <c r="H849" i="4"/>
  <c r="H49" i="4" s="1"/>
  <c r="D506" i="4"/>
  <c r="H506" i="4" s="1"/>
  <c r="G331" i="4"/>
  <c r="D666" i="4"/>
  <c r="D44" i="4" s="1"/>
  <c r="G384" i="4"/>
  <c r="G20" i="4" s="1"/>
  <c r="H601" i="4"/>
  <c r="G529" i="4"/>
  <c r="C666" i="4"/>
  <c r="D24" i="4"/>
  <c r="C6" i="4"/>
  <c r="H838" i="4"/>
  <c r="H47" i="4" s="1"/>
  <c r="D47" i="4"/>
  <c r="H481" i="4"/>
  <c r="H26" i="4" s="1"/>
  <c r="D26" i="4"/>
  <c r="D795" i="4"/>
  <c r="H795" i="4" s="1"/>
  <c r="H797" i="4"/>
  <c r="H476" i="4"/>
  <c r="H25" i="4" s="1"/>
  <c r="D25" i="4"/>
  <c r="H627" i="4"/>
  <c r="D623" i="4"/>
  <c r="D622" i="4" s="1"/>
  <c r="H622" i="4" s="1"/>
  <c r="H37" i="4" s="1"/>
  <c r="G453" i="4"/>
  <c r="G23" i="4" s="1"/>
  <c r="C23" i="4"/>
  <c r="G442" i="4"/>
  <c r="G22" i="4" s="1"/>
  <c r="C22" i="4"/>
  <c r="G303" i="4"/>
  <c r="G8" i="4" s="1"/>
  <c r="C8" i="4"/>
  <c r="D711" i="4"/>
  <c r="H711" i="4" s="1"/>
  <c r="G660" i="4"/>
  <c r="G40" i="4" s="1"/>
  <c r="C40" i="4"/>
  <c r="G695" i="4"/>
  <c r="C694" i="4"/>
  <c r="H331" i="4"/>
  <c r="D394" i="4"/>
  <c r="H395" i="4"/>
  <c r="H731" i="4"/>
  <c r="C595" i="4"/>
  <c r="G601" i="4"/>
  <c r="G558" i="4"/>
  <c r="G317" i="4"/>
  <c r="H317" i="4"/>
  <c r="D15" i="4"/>
  <c r="H103" i="4"/>
  <c r="C506" i="4"/>
  <c r="G508" i="4"/>
  <c r="H351" i="4"/>
  <c r="D350" i="4"/>
  <c r="H385" i="4"/>
  <c r="H357" i="4"/>
  <c r="H775" i="4"/>
  <c r="G580" i="4"/>
  <c r="G33" i="4" s="1"/>
  <c r="C33" i="4"/>
  <c r="H737" i="4"/>
  <c r="D735" i="4"/>
  <c r="H735" i="4" s="1"/>
  <c r="H790" i="4"/>
  <c r="D788" i="4"/>
  <c r="H196" i="4"/>
  <c r="H5" i="4" s="1"/>
  <c r="D5" i="4"/>
  <c r="G330" i="4"/>
  <c r="G16" i="4" s="1"/>
  <c r="C16" i="4"/>
  <c r="G487" i="4"/>
  <c r="G27" i="4" s="1"/>
  <c r="C27" i="4"/>
  <c r="D525" i="4"/>
  <c r="H525" i="4" s="1"/>
  <c r="G394" i="4"/>
  <c r="G21" i="4" s="1"/>
  <c r="C21" i="4"/>
  <c r="D811" i="4"/>
  <c r="H811" i="4" s="1"/>
  <c r="H816" i="4"/>
  <c r="H649" i="4"/>
  <c r="H39" i="4" s="1"/>
  <c r="D39" i="4"/>
  <c r="G740" i="4"/>
  <c r="C730" i="4"/>
  <c r="C787" i="4"/>
  <c r="G612" i="4"/>
  <c r="G36" i="4" s="1"/>
  <c r="C36" i="4"/>
  <c r="H612" i="4"/>
  <c r="H36" i="4" s="1"/>
  <c r="D36" i="4"/>
  <c r="H53" i="4"/>
  <c r="H3" i="4" s="1"/>
  <c r="D3" i="4"/>
  <c r="C47" i="4"/>
  <c r="G838" i="4"/>
  <c r="G47" i="4" s="1"/>
  <c r="G362" i="4"/>
  <c r="C15" i="4"/>
  <c r="C571" i="4"/>
  <c r="G571" i="4" s="1"/>
  <c r="G573" i="4"/>
  <c r="H661" i="4"/>
  <c r="D660" i="4"/>
  <c r="H595" i="4"/>
  <c r="H35" i="4" s="1"/>
  <c r="D35" i="4"/>
  <c r="H701" i="4"/>
  <c r="G623" i="4"/>
  <c r="G38" i="4" s="1"/>
  <c r="C622" i="4"/>
  <c r="C38" i="4"/>
  <c r="D557" i="4"/>
  <c r="H442" i="4"/>
  <c r="H22" i="4" s="1"/>
  <c r="G350" i="4"/>
  <c r="G17" i="4" s="1"/>
  <c r="C17" i="4"/>
  <c r="H507" i="4"/>
  <c r="G53" i="4"/>
  <c r="G3" i="4" s="1"/>
  <c r="C3" i="4"/>
  <c r="C727" i="1"/>
  <c r="C725" i="1" s="1"/>
  <c r="C720" i="1"/>
  <c r="C689" i="1"/>
  <c r="F779" i="1"/>
  <c r="F795" i="1"/>
  <c r="F791" i="1"/>
  <c r="F788" i="1"/>
  <c r="F773" i="1"/>
  <c r="F769" i="1"/>
  <c r="F768" i="1"/>
  <c r="F661" i="1"/>
  <c r="F688" i="1"/>
  <c r="F717" i="1"/>
  <c r="F762" i="1"/>
  <c r="F759" i="1"/>
  <c r="F746" i="1"/>
  <c r="F741" i="1"/>
  <c r="F735" i="1"/>
  <c r="F727" i="1"/>
  <c r="F725" i="1"/>
  <c r="F679" i="1"/>
  <c r="F672" i="1"/>
  <c r="F667" i="1"/>
  <c r="F720" i="1"/>
  <c r="F718" i="1"/>
  <c r="F705" i="1"/>
  <c r="F700" i="1"/>
  <c r="F689" i="1"/>
  <c r="F677" i="1"/>
  <c r="F665" i="1"/>
  <c r="F670" i="1"/>
  <c r="F662" i="1"/>
  <c r="F655" i="1"/>
  <c r="F654" i="1"/>
  <c r="F650" i="1"/>
  <c r="F647" i="1"/>
  <c r="F644" i="1"/>
  <c r="F640" i="1"/>
  <c r="F630" i="1"/>
  <c r="F631" i="1"/>
  <c r="D664" i="1"/>
  <c r="D663" i="1"/>
  <c r="D658" i="1"/>
  <c r="C658" i="1"/>
  <c r="F602" i="1"/>
  <c r="F618" i="1"/>
  <c r="F611" i="1"/>
  <c r="F597" i="1"/>
  <c r="F586" i="1"/>
  <c r="F579" i="1"/>
  <c r="F564" i="1"/>
  <c r="F560" i="1"/>
  <c r="F559" i="1"/>
  <c r="F532" i="1"/>
  <c r="F549" i="1"/>
  <c r="I554" i="1"/>
  <c r="F518" i="1"/>
  <c r="F510" i="1"/>
  <c r="F505" i="1"/>
  <c r="F501" i="1"/>
  <c r="F498" i="1"/>
  <c r="F495" i="1"/>
  <c r="F494" i="1"/>
  <c r="E464" i="1"/>
  <c r="E466" i="1"/>
  <c r="E465" i="1"/>
  <c r="F489" i="1"/>
  <c r="F483" i="1"/>
  <c r="F478" i="1"/>
  <c r="F473" i="1"/>
  <c r="F468" i="1"/>
  <c r="F442" i="1"/>
  <c r="F441" i="1"/>
  <c r="E446" i="1"/>
  <c r="E445" i="1"/>
  <c r="E444" i="1"/>
  <c r="F457" i="1"/>
  <c r="F453" i="1"/>
  <c r="F448" i="1"/>
  <c r="F434" i="1"/>
  <c r="F428" i="1"/>
  <c r="F425" i="1"/>
  <c r="F419" i="1"/>
  <c r="F414" i="1"/>
  <c r="F409" i="1"/>
  <c r="F406" i="1"/>
  <c r="F399" i="1"/>
  <c r="F395" i="1"/>
  <c r="F392" i="1"/>
  <c r="F391" i="1"/>
  <c r="F384" i="1"/>
  <c r="F385" i="1" s="1"/>
  <c r="F381" i="1"/>
  <c r="F351" i="1"/>
  <c r="F334" i="1"/>
  <c r="F335" i="1" s="1"/>
  <c r="F333" i="1"/>
  <c r="F328" i="1"/>
  <c r="F324" i="1"/>
  <c r="F323" i="1"/>
  <c r="F322" i="1"/>
  <c r="F316" i="1"/>
  <c r="F311" i="1"/>
  <c r="F307" i="1"/>
  <c r="F303" i="1"/>
  <c r="F300" i="1"/>
  <c r="F297" i="1"/>
  <c r="F292" i="1"/>
  <c r="F288" i="1"/>
  <c r="F284" i="1"/>
  <c r="F276" i="1"/>
  <c r="F275" i="1"/>
  <c r="F272" i="1"/>
  <c r="F267" i="1"/>
  <c r="F262" i="1"/>
  <c r="F261" i="1"/>
  <c r="C232" i="1"/>
  <c r="F258" i="1"/>
  <c r="F190" i="1"/>
  <c r="F247" i="1"/>
  <c r="F232" i="1"/>
  <c r="F220" i="1"/>
  <c r="F211" i="1"/>
  <c r="F212" i="1" s="1"/>
  <c r="H182" i="1"/>
  <c r="G182" i="1"/>
  <c r="F174" i="1"/>
  <c r="F185" i="1"/>
  <c r="F176" i="1"/>
  <c r="F88" i="1"/>
  <c r="I170" i="1"/>
  <c r="F146" i="1"/>
  <c r="F147" i="1" s="1"/>
  <c r="I160" i="1"/>
  <c r="F163" i="1"/>
  <c r="F164" i="1" s="1"/>
  <c r="F128" i="1"/>
  <c r="I125" i="1"/>
  <c r="H125" i="1"/>
  <c r="G125" i="1"/>
  <c r="F101" i="1"/>
  <c r="F253" i="1"/>
  <c r="F249" i="1"/>
  <c r="F242" i="1"/>
  <c r="F227" i="1"/>
  <c r="F196" i="1"/>
  <c r="F191" i="1"/>
  <c r="F114" i="1"/>
  <c r="F89" i="1"/>
  <c r="F76" i="1"/>
  <c r="F70" i="1"/>
  <c r="F66" i="1"/>
  <c r="F53" i="1"/>
  <c r="G186" i="1"/>
  <c r="I156" i="1"/>
  <c r="I135" i="1"/>
  <c r="H135" i="1"/>
  <c r="D145" i="1"/>
  <c r="D139" i="1"/>
  <c r="D796" i="1"/>
  <c r="H117" i="1"/>
  <c r="D62" i="1"/>
  <c r="D143" i="1"/>
  <c r="D120" i="1"/>
  <c r="D151" i="1"/>
  <c r="D127" i="1"/>
  <c r="D133" i="1"/>
  <c r="H133" i="1" s="1"/>
  <c r="I133" i="1"/>
  <c r="D130" i="1"/>
  <c r="D140" i="1"/>
  <c r="H216" i="1"/>
  <c r="G216" i="1"/>
  <c r="D212" i="1"/>
  <c r="C191" i="1"/>
  <c r="H192" i="1"/>
  <c r="G88" i="4" l="1"/>
  <c r="G4" i="4" s="1"/>
  <c r="G849" i="4"/>
  <c r="G49" i="4" s="1"/>
  <c r="C301" i="4"/>
  <c r="G301" i="4" s="1"/>
  <c r="G7" i="4" s="1"/>
  <c r="G383" i="4"/>
  <c r="G19" i="4" s="1"/>
  <c r="H666" i="4"/>
  <c r="H44" i="4" s="1"/>
  <c r="D49" i="4"/>
  <c r="G666" i="4"/>
  <c r="G44" i="4" s="1"/>
  <c r="C44" i="4"/>
  <c r="H214" i="4"/>
  <c r="H6" i="4" s="1"/>
  <c r="G196" i="4"/>
  <c r="G5" i="4" s="1"/>
  <c r="C5" i="4"/>
  <c r="D301" i="4"/>
  <c r="D7" i="4" s="1"/>
  <c r="D316" i="4"/>
  <c r="D14" i="4" s="1"/>
  <c r="D38" i="4"/>
  <c r="H623" i="4"/>
  <c r="H38" i="4" s="1"/>
  <c r="D37" i="4"/>
  <c r="D505" i="4"/>
  <c r="D504" i="4" s="1"/>
  <c r="H695" i="4"/>
  <c r="D694" i="4"/>
  <c r="D383" i="4"/>
  <c r="D20" i="4"/>
  <c r="H384" i="4"/>
  <c r="H20" i="4" s="1"/>
  <c r="D730" i="4"/>
  <c r="G622" i="4"/>
  <c r="G37" i="4" s="1"/>
  <c r="C37" i="4"/>
  <c r="H453" i="4"/>
  <c r="H23" i="4" s="1"/>
  <c r="D23" i="4"/>
  <c r="G316" i="4"/>
  <c r="G14" i="4" s="1"/>
  <c r="C14" i="4"/>
  <c r="G787" i="4"/>
  <c r="C758" i="4"/>
  <c r="G758" i="4" s="1"/>
  <c r="D787" i="4"/>
  <c r="H788" i="4"/>
  <c r="H356" i="4"/>
  <c r="H18" i="4" s="1"/>
  <c r="D18" i="4"/>
  <c r="D17" i="4"/>
  <c r="H350" i="4"/>
  <c r="H17" i="4" s="1"/>
  <c r="H88" i="4"/>
  <c r="H4" i="4" s="1"/>
  <c r="D4" i="4"/>
  <c r="G694" i="4"/>
  <c r="G506" i="4"/>
  <c r="C505" i="4"/>
  <c r="H330" i="4"/>
  <c r="H16" i="4" s="1"/>
  <c r="D16" i="4"/>
  <c r="D32" i="4"/>
  <c r="H557" i="4"/>
  <c r="H32" i="4" s="1"/>
  <c r="H660" i="4"/>
  <c r="H40" i="4" s="1"/>
  <c r="D40" i="4"/>
  <c r="G356" i="4"/>
  <c r="G18" i="4" s="1"/>
  <c r="C18" i="4"/>
  <c r="G730" i="4"/>
  <c r="C723" i="4"/>
  <c r="G723" i="4" s="1"/>
  <c r="C557" i="4"/>
  <c r="G595" i="4"/>
  <c r="G35" i="4" s="1"/>
  <c r="C35" i="4"/>
  <c r="H394" i="4"/>
  <c r="H21" i="4" s="1"/>
  <c r="D21" i="4"/>
  <c r="F443" i="1"/>
  <c r="F462" i="1"/>
  <c r="D534" i="3"/>
  <c r="D527" i="1"/>
  <c r="D490" i="1"/>
  <c r="D484" i="1"/>
  <c r="D513" i="1"/>
  <c r="D514" i="1"/>
  <c r="D521" i="3"/>
  <c r="D520" i="3"/>
  <c r="D808" i="3"/>
  <c r="C808" i="3"/>
  <c r="C806" i="3" s="1"/>
  <c r="D807" i="3"/>
  <c r="D803" i="3"/>
  <c r="C799" i="3"/>
  <c r="D797" i="3"/>
  <c r="D796" i="3" s="1"/>
  <c r="C796" i="3"/>
  <c r="D793" i="3"/>
  <c r="D792" i="3"/>
  <c r="C792" i="3"/>
  <c r="D791" i="3"/>
  <c r="D787" i="3"/>
  <c r="C787" i="3"/>
  <c r="D779" i="3"/>
  <c r="C779" i="3"/>
  <c r="D774" i="3"/>
  <c r="D770" i="3"/>
  <c r="C768" i="3"/>
  <c r="D765" i="3"/>
  <c r="C765" i="3"/>
  <c r="C764" i="3" s="1"/>
  <c r="D764" i="3"/>
  <c r="D762" i="3"/>
  <c r="D761" i="3"/>
  <c r="D760" i="3"/>
  <c r="D759" i="3"/>
  <c r="D756" i="3"/>
  <c r="C752" i="3"/>
  <c r="C747" i="3"/>
  <c r="D741" i="3"/>
  <c r="C741" i="3"/>
  <c r="D735" i="3"/>
  <c r="D734" i="3"/>
  <c r="D732" i="3" s="1"/>
  <c r="C734" i="3"/>
  <c r="C732" i="3"/>
  <c r="D728" i="3"/>
  <c r="D726" i="3" s="1"/>
  <c r="C726" i="3"/>
  <c r="C724" i="3"/>
  <c r="D723" i="3"/>
  <c r="D718" i="3"/>
  <c r="D711" i="3"/>
  <c r="C711" i="3"/>
  <c r="D706" i="3"/>
  <c r="C706" i="3"/>
  <c r="D703" i="3"/>
  <c r="D702" i="3"/>
  <c r="D700" i="3"/>
  <c r="D699" i="3"/>
  <c r="C695" i="3"/>
  <c r="D687" i="3"/>
  <c r="D686" i="3" s="1"/>
  <c r="C686" i="3"/>
  <c r="C684" i="3" s="1"/>
  <c r="D679" i="3"/>
  <c r="C679" i="3"/>
  <c r="D677" i="3"/>
  <c r="D676" i="3"/>
  <c r="D674" i="3" s="1"/>
  <c r="C674" i="3"/>
  <c r="C672" i="3"/>
  <c r="D671" i="3"/>
  <c r="D670" i="3"/>
  <c r="C669" i="3"/>
  <c r="D665" i="3"/>
  <c r="D662" i="3"/>
  <c r="C661" i="3"/>
  <c r="D659" i="3"/>
  <c r="D658" i="3"/>
  <c r="D656" i="3"/>
  <c r="C656" i="3"/>
  <c r="D654" i="3"/>
  <c r="C653" i="3"/>
  <c r="D652" i="3"/>
  <c r="C651" i="3"/>
  <c r="D647" i="3"/>
  <c r="C646" i="3"/>
  <c r="D645" i="3"/>
  <c r="D644" i="3"/>
  <c r="D642" i="3"/>
  <c r="C641" i="3"/>
  <c r="D639" i="3"/>
  <c r="C638" i="3"/>
  <c r="D630" i="3"/>
  <c r="C630" i="3"/>
  <c r="D628" i="3"/>
  <c r="C628" i="3"/>
  <c r="D626" i="3"/>
  <c r="D619" i="3"/>
  <c r="C619" i="3"/>
  <c r="C617" i="3" s="1"/>
  <c r="D618" i="3"/>
  <c r="D606" i="3"/>
  <c r="D605" i="3"/>
  <c r="D603" i="3" s="1"/>
  <c r="D604" i="3"/>
  <c r="C603" i="3"/>
  <c r="D600" i="3"/>
  <c r="D597" i="3"/>
  <c r="C592" i="3"/>
  <c r="D585" i="3"/>
  <c r="C585" i="3"/>
  <c r="D583" i="3"/>
  <c r="C583" i="3"/>
  <c r="D581" i="3"/>
  <c r="C581" i="3"/>
  <c r="D579" i="3"/>
  <c r="C579" i="3"/>
  <c r="D578" i="3"/>
  <c r="D577" i="3"/>
  <c r="C577" i="3"/>
  <c r="D575" i="3"/>
  <c r="C575" i="3"/>
  <c r="D573" i="3"/>
  <c r="C573" i="3"/>
  <c r="D572" i="3"/>
  <c r="D570" i="3"/>
  <c r="C570" i="3"/>
  <c r="D562" i="3"/>
  <c r="C562" i="3"/>
  <c r="C559" i="3" s="1"/>
  <c r="D560" i="3"/>
  <c r="D559" i="3"/>
  <c r="D556" i="3" s="1"/>
  <c r="D36" i="3" s="1"/>
  <c r="D550" i="3"/>
  <c r="C550" i="3"/>
  <c r="D549" i="3"/>
  <c r="D546" i="3"/>
  <c r="C546" i="3"/>
  <c r="D537" i="3"/>
  <c r="C537" i="3"/>
  <c r="D525" i="3"/>
  <c r="D522" i="3"/>
  <c r="C522" i="3"/>
  <c r="C521" i="3"/>
  <c r="D518" i="3"/>
  <c r="D512" i="3"/>
  <c r="C512" i="3"/>
  <c r="D508" i="3"/>
  <c r="C508" i="3"/>
  <c r="D506" i="3"/>
  <c r="C506" i="3"/>
  <c r="C505" i="3" s="1"/>
  <c r="D505" i="3"/>
  <c r="D504" i="3"/>
  <c r="C504" i="3"/>
  <c r="D503" i="3"/>
  <c r="D497" i="3"/>
  <c r="C496" i="3"/>
  <c r="C495" i="3"/>
  <c r="D493" i="3"/>
  <c r="C493" i="3"/>
  <c r="D491" i="3"/>
  <c r="D488" i="3"/>
  <c r="C488" i="3"/>
  <c r="D487" i="3"/>
  <c r="C487" i="3"/>
  <c r="D486" i="3"/>
  <c r="D481" i="3"/>
  <c r="C480" i="3"/>
  <c r="D478" i="3"/>
  <c r="C478" i="3"/>
  <c r="D477" i="3"/>
  <c r="D476" i="3"/>
  <c r="C471" i="3"/>
  <c r="D466" i="3"/>
  <c r="C466" i="3"/>
  <c r="C464" i="3" s="1"/>
  <c r="D465" i="3"/>
  <c r="D464" i="3" s="1"/>
  <c r="D461" i="3"/>
  <c r="D451" i="3" s="1"/>
  <c r="C460" i="3"/>
  <c r="D458" i="3"/>
  <c r="C458" i="3"/>
  <c r="D457" i="3"/>
  <c r="D452" i="3" s="1"/>
  <c r="C457" i="3"/>
  <c r="D456" i="3"/>
  <c r="D453" i="3"/>
  <c r="C453" i="3"/>
  <c r="C451" i="3"/>
  <c r="D445" i="3"/>
  <c r="D29" i="3" s="1"/>
  <c r="C445" i="3"/>
  <c r="D441" i="3"/>
  <c r="C441" i="3"/>
  <c r="D439" i="3"/>
  <c r="C435" i="3"/>
  <c r="C432" i="3" s="1"/>
  <c r="C27" i="3" s="1"/>
  <c r="D428" i="3"/>
  <c r="C426" i="3"/>
  <c r="D424" i="3"/>
  <c r="D423" i="3"/>
  <c r="D422" i="3"/>
  <c r="D421" i="3"/>
  <c r="C421" i="3"/>
  <c r="D418" i="3"/>
  <c r="D417" i="3"/>
  <c r="C416" i="3"/>
  <c r="C24" i="3" s="1"/>
  <c r="D415" i="3"/>
  <c r="D413" i="3" s="1"/>
  <c r="C413" i="3"/>
  <c r="D408" i="3"/>
  <c r="D407" i="3"/>
  <c r="D406" i="3" s="1"/>
  <c r="C406" i="3"/>
  <c r="D405" i="3"/>
  <c r="C402" i="3"/>
  <c r="D399" i="3"/>
  <c r="C399" i="3"/>
  <c r="D396" i="3"/>
  <c r="C391" i="3"/>
  <c r="D389" i="3"/>
  <c r="C389" i="3"/>
  <c r="D386" i="3"/>
  <c r="C386" i="3"/>
  <c r="D382" i="3"/>
  <c r="D381" i="3"/>
  <c r="D379" i="3"/>
  <c r="D378" i="3"/>
  <c r="D377" i="3"/>
  <c r="D375" i="3"/>
  <c r="D372" i="3"/>
  <c r="D369" i="3"/>
  <c r="D368" i="3"/>
  <c r="D360" i="3"/>
  <c r="D359" i="3"/>
  <c r="C358" i="3"/>
  <c r="D350" i="3"/>
  <c r="C350" i="3"/>
  <c r="C341" i="3" s="1"/>
  <c r="D347" i="3"/>
  <c r="D343" i="3"/>
  <c r="D339" i="3"/>
  <c r="D337" i="3"/>
  <c r="D336" i="3"/>
  <c r="D335" i="3" s="1"/>
  <c r="C335" i="3"/>
  <c r="D333" i="3"/>
  <c r="D331" i="3" s="1"/>
  <c r="D332" i="3"/>
  <c r="C331" i="3"/>
  <c r="C330" i="3" s="1"/>
  <c r="D326" i="3"/>
  <c r="C326" i="3"/>
  <c r="D325" i="3"/>
  <c r="D324" i="3"/>
  <c r="C323" i="3"/>
  <c r="D321" i="3"/>
  <c r="D319" i="3"/>
  <c r="C319" i="3"/>
  <c r="D316" i="3"/>
  <c r="D315" i="3"/>
  <c r="C315" i="3"/>
  <c r="C314" i="3" s="1"/>
  <c r="D311" i="3"/>
  <c r="D310" i="3" s="1"/>
  <c r="C311" i="3"/>
  <c r="C310" i="3" s="1"/>
  <c r="D308" i="3"/>
  <c r="D307" i="3" s="1"/>
  <c r="C308" i="3"/>
  <c r="C307" i="3"/>
  <c r="D306" i="3"/>
  <c r="C306" i="3"/>
  <c r="D303" i="3"/>
  <c r="D299" i="3" s="1"/>
  <c r="C303" i="3"/>
  <c r="C299" i="3" s="1"/>
  <c r="D295" i="3"/>
  <c r="C295" i="3"/>
  <c r="D291" i="3"/>
  <c r="C291" i="3"/>
  <c r="D290" i="3"/>
  <c r="C290" i="3"/>
  <c r="D289" i="3"/>
  <c r="D288" i="3"/>
  <c r="D287" i="3"/>
  <c r="D284" i="3"/>
  <c r="C284" i="3"/>
  <c r="D279" i="3"/>
  <c r="C279" i="3"/>
  <c r="D274" i="3"/>
  <c r="C274" i="3"/>
  <c r="D270" i="3"/>
  <c r="C270" i="3"/>
  <c r="D261" i="3"/>
  <c r="C261" i="3"/>
  <c r="C256" i="3" s="1"/>
  <c r="C8" i="3" s="1"/>
  <c r="D257" i="3"/>
  <c r="D252" i="3"/>
  <c r="D249" i="3"/>
  <c r="C248" i="3"/>
  <c r="D246" i="3"/>
  <c r="D241" i="3"/>
  <c r="C238" i="3"/>
  <c r="D233" i="3"/>
  <c r="C233" i="3"/>
  <c r="D231" i="3"/>
  <c r="D229" i="3"/>
  <c r="C226" i="3"/>
  <c r="D218" i="3"/>
  <c r="C218" i="3"/>
  <c r="D216" i="3"/>
  <c r="D203" i="3" s="1"/>
  <c r="D215" i="3"/>
  <c r="D207" i="3"/>
  <c r="C203" i="3"/>
  <c r="D202" i="3"/>
  <c r="C202" i="3"/>
  <c r="D201" i="3"/>
  <c r="D200" i="3" s="1"/>
  <c r="C200" i="3"/>
  <c r="D196" i="3"/>
  <c r="D194" i="3"/>
  <c r="C192" i="3"/>
  <c r="D182" i="3"/>
  <c r="C182" i="3"/>
  <c r="C179" i="3"/>
  <c r="D178" i="3"/>
  <c r="C178" i="3"/>
  <c r="C177" i="3" s="1"/>
  <c r="C5" i="3" s="1"/>
  <c r="D163" i="3"/>
  <c r="C163" i="3"/>
  <c r="D144" i="3"/>
  <c r="C144" i="3"/>
  <c r="D143" i="3"/>
  <c r="D142" i="3"/>
  <c r="D141" i="3"/>
  <c r="D132" i="3"/>
  <c r="D129" i="3"/>
  <c r="C128" i="3"/>
  <c r="D116" i="3"/>
  <c r="C116" i="3"/>
  <c r="D111" i="3"/>
  <c r="C111" i="3"/>
  <c r="D109" i="3"/>
  <c r="C109" i="3"/>
  <c r="D108" i="3"/>
  <c r="D107" i="3"/>
  <c r="D101" i="3"/>
  <c r="D93" i="3"/>
  <c r="D92" i="3"/>
  <c r="C87" i="3"/>
  <c r="D75" i="3"/>
  <c r="C75" i="3"/>
  <c r="D69" i="3"/>
  <c r="C69" i="3"/>
  <c r="D65" i="3"/>
  <c r="C65" i="3"/>
  <c r="D59" i="3"/>
  <c r="C59" i="3"/>
  <c r="D58" i="3"/>
  <c r="D57" i="3"/>
  <c r="C57" i="3"/>
  <c r="D56" i="3"/>
  <c r="D55" i="3"/>
  <c r="C55" i="3"/>
  <c r="D54" i="3"/>
  <c r="C54" i="3"/>
  <c r="D53" i="3"/>
  <c r="C53" i="3"/>
  <c r="D47" i="3"/>
  <c r="C47" i="3"/>
  <c r="D46" i="3"/>
  <c r="D43" i="3"/>
  <c r="C43" i="3"/>
  <c r="C42" i="3"/>
  <c r="D41" i="3"/>
  <c r="C41" i="3"/>
  <c r="D28" i="3"/>
  <c r="C25" i="3"/>
  <c r="C313" i="4" l="1"/>
  <c r="C7" i="4"/>
  <c r="C692" i="4"/>
  <c r="C46" i="4" s="1"/>
  <c r="D31" i="4"/>
  <c r="H505" i="4"/>
  <c r="H31" i="4" s="1"/>
  <c r="D313" i="4"/>
  <c r="D9" i="4" s="1"/>
  <c r="H301" i="4"/>
  <c r="H7" i="4" s="1"/>
  <c r="H316" i="4"/>
  <c r="H14" i="4" s="1"/>
  <c r="C504" i="4"/>
  <c r="G505" i="4"/>
  <c r="G31" i="4" s="1"/>
  <c r="C31" i="4"/>
  <c r="G313" i="4"/>
  <c r="G9" i="4" s="1"/>
  <c r="C9" i="4"/>
  <c r="H787" i="4"/>
  <c r="D758" i="4"/>
  <c r="H758" i="4" s="1"/>
  <c r="H383" i="4"/>
  <c r="H19" i="4" s="1"/>
  <c r="D19" i="4"/>
  <c r="G557" i="4"/>
  <c r="G32" i="4" s="1"/>
  <c r="C32" i="4"/>
  <c r="H694" i="4"/>
  <c r="H504" i="4"/>
  <c r="H30" i="4" s="1"/>
  <c r="D30" i="4"/>
  <c r="H730" i="4"/>
  <c r="D723" i="4"/>
  <c r="H723" i="4" s="1"/>
  <c r="D42" i="3"/>
  <c r="C269" i="3"/>
  <c r="C15" i="3" s="1"/>
  <c r="C556" i="3"/>
  <c r="D672" i="3"/>
  <c r="D684" i="3"/>
  <c r="D330" i="3"/>
  <c r="C388" i="3"/>
  <c r="D450" i="3"/>
  <c r="C452" i="3"/>
  <c r="D490" i="3"/>
  <c r="D496" i="3"/>
  <c r="D638" i="3"/>
  <c r="C785" i="3"/>
  <c r="C52" i="3"/>
  <c r="C3" i="3" s="1"/>
  <c r="D248" i="3"/>
  <c r="D256" i="3"/>
  <c r="D283" i="3"/>
  <c r="D318" i="3"/>
  <c r="D391" i="3"/>
  <c r="D416" i="3"/>
  <c r="C455" i="3"/>
  <c r="D460" i="3"/>
  <c r="C472" i="3"/>
  <c r="D480" i="3"/>
  <c r="C485" i="3"/>
  <c r="C566" i="3"/>
  <c r="C38" i="3" s="1"/>
  <c r="D651" i="3"/>
  <c r="D653" i="3"/>
  <c r="D661" i="3"/>
  <c r="C677" i="3"/>
  <c r="C722" i="3"/>
  <c r="D305" i="3"/>
  <c r="C318" i="3"/>
  <c r="D455" i="3"/>
  <c r="C591" i="3"/>
  <c r="D602" i="3"/>
  <c r="D646" i="3"/>
  <c r="C650" i="3"/>
  <c r="D103" i="3"/>
  <c r="D128" i="3"/>
  <c r="C283" i="3"/>
  <c r="D298" i="3"/>
  <c r="C298" i="3"/>
  <c r="C340" i="3"/>
  <c r="D25" i="3"/>
  <c r="C26" i="3"/>
  <c r="D502" i="3"/>
  <c r="D536" i="3"/>
  <c r="D535" i="3"/>
  <c r="D724" i="3"/>
  <c r="C29" i="3"/>
  <c r="D52" i="3"/>
  <c r="D87" i="3"/>
  <c r="D179" i="3"/>
  <c r="D192" i="3"/>
  <c r="D269" i="3"/>
  <c r="D341" i="3"/>
  <c r="D402" i="3"/>
  <c r="C28" i="3"/>
  <c r="C490" i="3"/>
  <c r="D495" i="3"/>
  <c r="C565" i="3"/>
  <c r="D592" i="3"/>
  <c r="D314" i="3"/>
  <c r="D358" i="3"/>
  <c r="D388" i="3"/>
  <c r="C398" i="3"/>
  <c r="D435" i="3"/>
  <c r="D545" i="3"/>
  <c r="D669" i="3"/>
  <c r="C199" i="3"/>
  <c r="D226" i="3"/>
  <c r="D282" i="3"/>
  <c r="C20" i="3"/>
  <c r="D471" i="3"/>
  <c r="D475" i="3"/>
  <c r="D517" i="3"/>
  <c r="C103" i="3"/>
  <c r="D238" i="3"/>
  <c r="C305" i="3"/>
  <c r="D323" i="3"/>
  <c r="D426" i="3"/>
  <c r="D473" i="3"/>
  <c r="D485" i="3"/>
  <c r="D524" i="3"/>
  <c r="D566" i="3"/>
  <c r="D641" i="3"/>
  <c r="C637" i="3"/>
  <c r="D695" i="3"/>
  <c r="C475" i="3"/>
  <c r="C473" i="3"/>
  <c r="C624" i="3"/>
  <c r="C668" i="3"/>
  <c r="D799" i="3"/>
  <c r="C469" i="3"/>
  <c r="D472" i="3"/>
  <c r="C502" i="3"/>
  <c r="C517" i="3"/>
  <c r="C525" i="3"/>
  <c r="C545" i="3"/>
  <c r="C602" i="3"/>
  <c r="D617" i="3"/>
  <c r="D752" i="3"/>
  <c r="C774" i="3"/>
  <c r="D806" i="3"/>
  <c r="C535" i="3"/>
  <c r="C536" i="3"/>
  <c r="D624" i="3"/>
  <c r="D768" i="3"/>
  <c r="D364" i="1"/>
  <c r="D353" i="1"/>
  <c r="D336" i="1"/>
  <c r="D326" i="1"/>
  <c r="D325" i="1"/>
  <c r="D317" i="1"/>
  <c r="D318" i="1"/>
  <c r="D792" i="1"/>
  <c r="D511" i="1"/>
  <c r="C196" i="1"/>
  <c r="I207" i="1"/>
  <c r="H207" i="1"/>
  <c r="D553" i="1"/>
  <c r="I200" i="1"/>
  <c r="G200" i="1"/>
  <c r="D200" i="1"/>
  <c r="H200" i="1" s="1"/>
  <c r="D624" i="1"/>
  <c r="H624" i="1" s="1"/>
  <c r="C624" i="1"/>
  <c r="H626" i="1"/>
  <c r="H625" i="1"/>
  <c r="D411" i="1"/>
  <c r="D410" i="1"/>
  <c r="H286" i="1"/>
  <c r="G286" i="1"/>
  <c r="D99" i="1"/>
  <c r="D594" i="1"/>
  <c r="D591" i="1"/>
  <c r="D696" i="1"/>
  <c r="D398" i="1"/>
  <c r="D789" i="1"/>
  <c r="D59" i="1"/>
  <c r="H68" i="1"/>
  <c r="D756" i="1"/>
  <c r="D755" i="1"/>
  <c r="D754" i="1"/>
  <c r="H724" i="1"/>
  <c r="G724" i="1"/>
  <c r="D764" i="1"/>
  <c r="D193" i="1"/>
  <c r="D191" i="1" s="1"/>
  <c r="D408" i="1"/>
  <c r="D600" i="1"/>
  <c r="D599" i="1"/>
  <c r="D598" i="1"/>
  <c r="D470" i="1"/>
  <c r="D282" i="1"/>
  <c r="D451" i="1"/>
  <c r="D480" i="1"/>
  <c r="D612" i="1"/>
  <c r="D280" i="1"/>
  <c r="D314" i="1"/>
  <c r="D620" i="1"/>
  <c r="D712" i="1"/>
  <c r="D309" i="1"/>
  <c r="D281" i="1"/>
  <c r="I609" i="1"/>
  <c r="H609" i="1"/>
  <c r="D329" i="1"/>
  <c r="D330" i="1"/>
  <c r="D636" i="1"/>
  <c r="D641" i="1"/>
  <c r="D332" i="1"/>
  <c r="H404" i="1"/>
  <c r="G404" i="1"/>
  <c r="D401" i="1"/>
  <c r="D144" i="1"/>
  <c r="D421" i="1"/>
  <c r="I222" i="1"/>
  <c r="D222" i="1"/>
  <c r="H222" i="1" s="1"/>
  <c r="D224" i="1"/>
  <c r="D146" i="1"/>
  <c r="C146" i="1"/>
  <c r="H147" i="1"/>
  <c r="D542" i="1"/>
  <c r="D235" i="1"/>
  <c r="D622" i="1"/>
  <c r="D692" i="4" l="1"/>
  <c r="D46" i="4" s="1"/>
  <c r="H313" i="4"/>
  <c r="H9" i="4" s="1"/>
  <c r="G692" i="4"/>
  <c r="G46" i="4" s="1"/>
  <c r="G504" i="4"/>
  <c r="G30" i="4" s="1"/>
  <c r="C30" i="4"/>
  <c r="C876" i="4"/>
  <c r="D40" i="3"/>
  <c r="C39" i="3"/>
  <c r="C48" i="3"/>
  <c r="D8" i="3"/>
  <c r="C22" i="3"/>
  <c r="C450" i="3"/>
  <c r="D24" i="3"/>
  <c r="D637" i="3"/>
  <c r="D636" i="3" s="1"/>
  <c r="C694" i="3"/>
  <c r="C660" i="3"/>
  <c r="D398" i="3"/>
  <c r="D650" i="3"/>
  <c r="D20" i="3"/>
  <c r="C36" i="3"/>
  <c r="C34" i="3"/>
  <c r="C40" i="3"/>
  <c r="C501" i="3"/>
  <c r="C608" i="3"/>
  <c r="D16" i="3"/>
  <c r="D340" i="3"/>
  <c r="D3" i="3"/>
  <c r="D34" i="3"/>
  <c r="C282" i="3"/>
  <c r="C86" i="3"/>
  <c r="D469" i="3"/>
  <c r="D668" i="3"/>
  <c r="D432" i="3"/>
  <c r="D22" i="3"/>
  <c r="D591" i="3"/>
  <c r="D565" i="3" s="1"/>
  <c r="C37" i="3"/>
  <c r="C17" i="3"/>
  <c r="D747" i="3"/>
  <c r="D608" i="3"/>
  <c r="C539" i="3"/>
  <c r="C304" i="3"/>
  <c r="D515" i="3"/>
  <c r="D304" i="3"/>
  <c r="D268" i="3" s="1"/>
  <c r="D15" i="3"/>
  <c r="D177" i="3"/>
  <c r="D722" i="3"/>
  <c r="C329" i="3"/>
  <c r="C21" i="3"/>
  <c r="D199" i="3"/>
  <c r="D785" i="3"/>
  <c r="D33" i="3"/>
  <c r="D26" i="3"/>
  <c r="C6" i="3"/>
  <c r="D539" i="3"/>
  <c r="C23" i="3"/>
  <c r="D86" i="3"/>
  <c r="D17" i="3"/>
  <c r="C46" i="3"/>
  <c r="C524" i="3"/>
  <c r="D38" i="3"/>
  <c r="C515" i="3"/>
  <c r="C636" i="3"/>
  <c r="D220" i="1"/>
  <c r="D359" i="1"/>
  <c r="D357" i="1"/>
  <c r="D369" i="1"/>
  <c r="D372" i="1"/>
  <c r="D370" i="1"/>
  <c r="D368" i="1"/>
  <c r="D566" i="1"/>
  <c r="D415" i="1"/>
  <c r="D209" i="1"/>
  <c r="H209" i="1" s="1"/>
  <c r="D208" i="1"/>
  <c r="D646" i="1"/>
  <c r="D60" i="1"/>
  <c r="I550" i="1"/>
  <c r="H550" i="1"/>
  <c r="D417" i="1"/>
  <c r="D416" i="1"/>
  <c r="H659" i="1"/>
  <c r="G659" i="1"/>
  <c r="D680" i="1"/>
  <c r="D722" i="1"/>
  <c r="D720" i="1" s="1"/>
  <c r="D718" i="1" s="1"/>
  <c r="D728" i="1"/>
  <c r="D727" i="1" s="1"/>
  <c r="D725" i="1" s="1"/>
  <c r="D753" i="1"/>
  <c r="D750" i="1"/>
  <c r="D652" i="1"/>
  <c r="D648" i="1"/>
  <c r="D633" i="1"/>
  <c r="D250" i="1"/>
  <c r="D58" i="1"/>
  <c r="D56" i="1"/>
  <c r="D57" i="1"/>
  <c r="D55" i="1"/>
  <c r="D54" i="1"/>
  <c r="D245" i="1"/>
  <c r="I793" i="1"/>
  <c r="H793" i="1"/>
  <c r="D785" i="1"/>
  <c r="D716" i="1"/>
  <c r="D693" i="1"/>
  <c r="D240" i="1"/>
  <c r="H240" i="1" s="1"/>
  <c r="D243" i="1"/>
  <c r="D783" i="1"/>
  <c r="D697" i="1"/>
  <c r="D694" i="1"/>
  <c r="D669" i="1"/>
  <c r="D653" i="1"/>
  <c r="D639" i="1"/>
  <c r="D638" i="1"/>
  <c r="D572" i="1"/>
  <c r="D539" i="1"/>
  <c r="D497" i="1"/>
  <c r="D496" i="1"/>
  <c r="D479" i="1"/>
  <c r="D474" i="1"/>
  <c r="D469" i="1"/>
  <c r="D454" i="1"/>
  <c r="D449" i="1"/>
  <c r="D432" i="1"/>
  <c r="D400" i="1"/>
  <c r="D389" i="1"/>
  <c r="D374" i="1"/>
  <c r="D356" i="1"/>
  <c r="D344" i="1"/>
  <c r="D109" i="1"/>
  <c r="D106" i="1"/>
  <c r="D105" i="1"/>
  <c r="D93" i="1"/>
  <c r="D92" i="1"/>
  <c r="D186" i="1"/>
  <c r="H376" i="1"/>
  <c r="D352" i="1"/>
  <c r="I206" i="1"/>
  <c r="H206" i="1"/>
  <c r="I205" i="1"/>
  <c r="H205" i="1"/>
  <c r="D458" i="1"/>
  <c r="D131" i="1"/>
  <c r="D129" i="1"/>
  <c r="D481" i="1"/>
  <c r="D773" i="1"/>
  <c r="C773" i="1"/>
  <c r="D438" i="1"/>
  <c r="C438" i="1"/>
  <c r="D308" i="1"/>
  <c r="C308" i="1"/>
  <c r="D304" i="1"/>
  <c r="C304" i="1"/>
  <c r="D301" i="1"/>
  <c r="C301" i="1"/>
  <c r="D299" i="1"/>
  <c r="C299" i="1"/>
  <c r="D296" i="1"/>
  <c r="C296" i="1"/>
  <c r="D283" i="1"/>
  <c r="C283" i="1"/>
  <c r="H692" i="4" l="1"/>
  <c r="H46" i="4" s="1"/>
  <c r="D876" i="4"/>
  <c r="D880" i="4" s="1"/>
  <c r="G876" i="4"/>
  <c r="G50" i="4" s="1"/>
  <c r="C50" i="4"/>
  <c r="C11" i="4" s="1"/>
  <c r="G11" i="4" s="1"/>
  <c r="C880" i="4"/>
  <c r="D232" i="1"/>
  <c r="D501" i="3"/>
  <c r="D32" i="3" s="1"/>
  <c r="C449" i="3"/>
  <c r="C31" i="3" s="1"/>
  <c r="D23" i="3"/>
  <c r="D694" i="3"/>
  <c r="D14" i="3"/>
  <c r="D6" i="3"/>
  <c r="D44" i="3"/>
  <c r="D27" i="3"/>
  <c r="D21" i="3"/>
  <c r="D329" i="3"/>
  <c r="C32" i="3"/>
  <c r="C634" i="3"/>
  <c r="C33" i="3"/>
  <c r="D4" i="3"/>
  <c r="D35" i="3"/>
  <c r="C4" i="3"/>
  <c r="C254" i="3"/>
  <c r="D37" i="3"/>
  <c r="C19" i="3"/>
  <c r="D5" i="3"/>
  <c r="C35" i="3"/>
  <c r="D660" i="3"/>
  <c r="C16" i="3"/>
  <c r="C268" i="3"/>
  <c r="D254" i="3"/>
  <c r="C44" i="3"/>
  <c r="D48" i="3"/>
  <c r="C18" i="3"/>
  <c r="D39" i="3"/>
  <c r="D449" i="3"/>
  <c r="D18" i="3"/>
  <c r="H208" i="1"/>
  <c r="D196" i="1"/>
  <c r="D185" i="1"/>
  <c r="D351" i="1"/>
  <c r="I102" i="2"/>
  <c r="G102" i="2"/>
  <c r="G94" i="2" s="1"/>
  <c r="I94" i="2"/>
  <c r="K92" i="2"/>
  <c r="K91" i="2"/>
  <c r="K90" i="2"/>
  <c r="K89" i="2"/>
  <c r="K88" i="2"/>
  <c r="K85" i="2"/>
  <c r="K78" i="2"/>
  <c r="K67" i="2"/>
  <c r="K62" i="2"/>
  <c r="I58" i="2"/>
  <c r="G58" i="2"/>
  <c r="I44" i="2"/>
  <c r="G44" i="2"/>
  <c r="G41" i="2"/>
  <c r="G43" i="2" s="1"/>
  <c r="I38" i="2"/>
  <c r="I41" i="2" s="1"/>
  <c r="I43" i="2" s="1"/>
  <c r="I24" i="2"/>
  <c r="I26" i="2" s="1"/>
  <c r="I31" i="2" s="1"/>
  <c r="I29" i="2" s="1"/>
  <c r="G24" i="2"/>
  <c r="G26" i="2" s="1"/>
  <c r="G31" i="2" s="1"/>
  <c r="G29" i="2" s="1"/>
  <c r="E24" i="2"/>
  <c r="I14" i="2"/>
  <c r="I18" i="2" s="1"/>
  <c r="G14" i="2"/>
  <c r="G18" i="2" s="1"/>
  <c r="I718" i="1"/>
  <c r="I719" i="1"/>
  <c r="I700" i="1"/>
  <c r="I701" i="1"/>
  <c r="I702" i="1"/>
  <c r="I703" i="1"/>
  <c r="I704" i="1"/>
  <c r="I705" i="1"/>
  <c r="I708" i="1"/>
  <c r="I711" i="1"/>
  <c r="I712" i="1"/>
  <c r="I714" i="1"/>
  <c r="I717" i="1"/>
  <c r="I688" i="1"/>
  <c r="I689" i="1"/>
  <c r="I678" i="1"/>
  <c r="I679" i="1"/>
  <c r="I670" i="1"/>
  <c r="I671" i="1"/>
  <c r="I672" i="1"/>
  <c r="I677" i="1"/>
  <c r="I661" i="1"/>
  <c r="I662" i="1"/>
  <c r="I663" i="1"/>
  <c r="I665" i="1"/>
  <c r="I657" i="1"/>
  <c r="I654" i="1"/>
  <c r="I655" i="1"/>
  <c r="I650" i="1"/>
  <c r="I651" i="1"/>
  <c r="I640" i="1"/>
  <c r="I641" i="1"/>
  <c r="I629" i="1"/>
  <c r="I630" i="1"/>
  <c r="I631" i="1"/>
  <c r="I779" i="1"/>
  <c r="I768" i="1"/>
  <c r="I628" i="1"/>
  <c r="I604" i="1"/>
  <c r="I605" i="1"/>
  <c r="I606" i="1"/>
  <c r="I608" i="1"/>
  <c r="I610" i="1"/>
  <c r="I611" i="1"/>
  <c r="I596" i="1"/>
  <c r="I588" i="1"/>
  <c r="I589" i="1"/>
  <c r="I590" i="1"/>
  <c r="I591" i="1"/>
  <c r="I592" i="1"/>
  <c r="I594" i="1"/>
  <c r="I587" i="1"/>
  <c r="I585" i="1"/>
  <c r="I584" i="1"/>
  <c r="I564" i="1"/>
  <c r="I563" i="1"/>
  <c r="I536" i="1"/>
  <c r="I527" i="1"/>
  <c r="I522" i="1"/>
  <c r="I523" i="1"/>
  <c r="I524" i="1"/>
  <c r="I525" i="1"/>
  <c r="I526" i="1"/>
  <c r="I519" i="1"/>
  <c r="I513" i="1"/>
  <c r="I505" i="1"/>
  <c r="I503" i="1"/>
  <c r="I490" i="1"/>
  <c r="I492" i="1"/>
  <c r="I468" i="1"/>
  <c r="I455" i="1"/>
  <c r="I443" i="1"/>
  <c r="I426" i="1"/>
  <c r="I427" i="1"/>
  <c r="I406" i="1"/>
  <c r="I398" i="1"/>
  <c r="I399" i="1"/>
  <c r="I391" i="1"/>
  <c r="I381" i="1"/>
  <c r="I357" i="1"/>
  <c r="I362" i="1"/>
  <c r="I356" i="1"/>
  <c r="I358" i="1"/>
  <c r="I342" i="1"/>
  <c r="I339" i="1"/>
  <c r="I344" i="1"/>
  <c r="I340" i="1"/>
  <c r="I349" i="1"/>
  <c r="I334" i="1"/>
  <c r="I335" i="1"/>
  <c r="I333" i="1"/>
  <c r="I328" i="1"/>
  <c r="I325" i="1"/>
  <c r="I323" i="1"/>
  <c r="I322" i="1"/>
  <c r="I317" i="1"/>
  <c r="I311" i="1"/>
  <c r="I312" i="1"/>
  <c r="I314" i="1"/>
  <c r="I310" i="1"/>
  <c r="I306" i="1"/>
  <c r="I300" i="1"/>
  <c r="I302" i="1"/>
  <c r="I303" i="1"/>
  <c r="I304" i="1"/>
  <c r="I291" i="1"/>
  <c r="I290" i="1"/>
  <c r="I284" i="1"/>
  <c r="I280" i="1"/>
  <c r="I281" i="1"/>
  <c r="I276" i="1"/>
  <c r="I267" i="1"/>
  <c r="I268" i="1"/>
  <c r="I269" i="1"/>
  <c r="I270" i="1"/>
  <c r="I262" i="1"/>
  <c r="I247" i="1"/>
  <c r="I242" i="1"/>
  <c r="I226" i="1"/>
  <c r="I214" i="1"/>
  <c r="I215" i="1"/>
  <c r="I218" i="1"/>
  <c r="I212" i="1"/>
  <c r="I211" i="1"/>
  <c r="I204" i="1"/>
  <c r="I199" i="1"/>
  <c r="I194" i="1"/>
  <c r="I196" i="1"/>
  <c r="I184" i="1"/>
  <c r="I167" i="1"/>
  <c r="I168" i="1"/>
  <c r="I169" i="1"/>
  <c r="I171" i="1"/>
  <c r="I172" i="1"/>
  <c r="I164" i="1"/>
  <c r="I162" i="1"/>
  <c r="I153" i="1"/>
  <c r="I154" i="1"/>
  <c r="I155" i="1"/>
  <c r="I158" i="1"/>
  <c r="I159" i="1"/>
  <c r="I161" i="1"/>
  <c r="I149" i="1"/>
  <c r="I144" i="1"/>
  <c r="I137" i="1"/>
  <c r="I138" i="1"/>
  <c r="I139" i="1"/>
  <c r="I140" i="1"/>
  <c r="I142" i="1"/>
  <c r="I130" i="1"/>
  <c r="I131" i="1"/>
  <c r="I132" i="1"/>
  <c r="I134" i="1"/>
  <c r="I128" i="1"/>
  <c r="I121" i="1"/>
  <c r="I122" i="1"/>
  <c r="I123" i="1"/>
  <c r="I124" i="1"/>
  <c r="I118" i="1"/>
  <c r="I119" i="1"/>
  <c r="I92" i="1"/>
  <c r="I93" i="1"/>
  <c r="I94" i="1"/>
  <c r="I62" i="1"/>
  <c r="H796" i="1"/>
  <c r="H783" i="1"/>
  <c r="H785" i="1"/>
  <c r="H786" i="1"/>
  <c r="H787" i="1"/>
  <c r="H789" i="1"/>
  <c r="H790" i="1"/>
  <c r="H792" i="1"/>
  <c r="H794" i="1"/>
  <c r="H782" i="1"/>
  <c r="H780" i="1"/>
  <c r="H771" i="1"/>
  <c r="H772" i="1"/>
  <c r="H774" i="1"/>
  <c r="H775" i="1"/>
  <c r="H770" i="1"/>
  <c r="H769" i="1"/>
  <c r="H757" i="1"/>
  <c r="H760" i="1"/>
  <c r="H761" i="1"/>
  <c r="H763" i="1"/>
  <c r="H764" i="1"/>
  <c r="H765" i="1"/>
  <c r="H766" i="1"/>
  <c r="H721" i="1"/>
  <c r="H722" i="1"/>
  <c r="H723" i="1"/>
  <c r="H734" i="1"/>
  <c r="H726" i="1"/>
  <c r="H728" i="1"/>
  <c r="H729" i="1"/>
  <c r="H730" i="1"/>
  <c r="H731" i="1"/>
  <c r="H732" i="1"/>
  <c r="H733" i="1"/>
  <c r="H736" i="1"/>
  <c r="H737" i="1"/>
  <c r="H738" i="1"/>
  <c r="H740" i="1"/>
  <c r="H742" i="1"/>
  <c r="H743" i="1"/>
  <c r="H744" i="1"/>
  <c r="H745" i="1"/>
  <c r="H747" i="1"/>
  <c r="H748" i="1"/>
  <c r="H749" i="1"/>
  <c r="H751" i="1"/>
  <c r="H752" i="1"/>
  <c r="H754" i="1"/>
  <c r="H755" i="1"/>
  <c r="H756" i="1"/>
  <c r="H719" i="1"/>
  <c r="H709" i="1"/>
  <c r="H710" i="1"/>
  <c r="H711" i="1"/>
  <c r="H712" i="1"/>
  <c r="H713" i="1"/>
  <c r="H714" i="1"/>
  <c r="H715" i="1"/>
  <c r="H716" i="1"/>
  <c r="H697" i="1"/>
  <c r="H698" i="1"/>
  <c r="H699" i="1"/>
  <c r="H701" i="1"/>
  <c r="H702" i="1"/>
  <c r="H703" i="1"/>
  <c r="H704" i="1"/>
  <c r="H706" i="1"/>
  <c r="H707" i="1"/>
  <c r="H708" i="1"/>
  <c r="H696" i="1"/>
  <c r="H695" i="1"/>
  <c r="H664" i="1"/>
  <c r="H666" i="1"/>
  <c r="H668" i="1"/>
  <c r="H619" i="1"/>
  <c r="H587" i="1"/>
  <c r="H584" i="1"/>
  <c r="H572" i="1"/>
  <c r="H555" i="1"/>
  <c r="I555" i="1"/>
  <c r="H536" i="1"/>
  <c r="H521" i="1"/>
  <c r="H522" i="1"/>
  <c r="H523" i="1"/>
  <c r="H524" i="1"/>
  <c r="H520" i="1"/>
  <c r="H439" i="1"/>
  <c r="H431" i="1"/>
  <c r="H432" i="1"/>
  <c r="H429" i="1"/>
  <c r="H427" i="1"/>
  <c r="H400" i="1"/>
  <c r="H370" i="1"/>
  <c r="H371" i="1"/>
  <c r="H372" i="1"/>
  <c r="H377" i="1"/>
  <c r="H378" i="1"/>
  <c r="H368" i="1"/>
  <c r="H360" i="1"/>
  <c r="H363" i="1"/>
  <c r="H355" i="1"/>
  <c r="H373" i="1"/>
  <c r="H345" i="1"/>
  <c r="H340" i="1"/>
  <c r="H349" i="1"/>
  <c r="H346" i="1"/>
  <c r="H347" i="1"/>
  <c r="H350" i="1"/>
  <c r="H348" i="1"/>
  <c r="H341" i="1"/>
  <c r="H313" i="1"/>
  <c r="H314" i="1"/>
  <c r="H310" i="1"/>
  <c r="H302" i="1"/>
  <c r="H279" i="1"/>
  <c r="H280" i="1"/>
  <c r="H281" i="1"/>
  <c r="H236" i="1"/>
  <c r="H237" i="1"/>
  <c r="H238" i="1"/>
  <c r="H239" i="1"/>
  <c r="H241" i="1"/>
  <c r="H181" i="1"/>
  <c r="H180" i="1"/>
  <c r="H166" i="1"/>
  <c r="H148" i="1"/>
  <c r="H149" i="1"/>
  <c r="H119" i="1"/>
  <c r="H120" i="1"/>
  <c r="H121" i="1"/>
  <c r="H123" i="1"/>
  <c r="H124" i="1"/>
  <c r="H127" i="1"/>
  <c r="H129" i="1"/>
  <c r="H130" i="1"/>
  <c r="H131" i="1"/>
  <c r="H132" i="1"/>
  <c r="H134" i="1"/>
  <c r="H137" i="1"/>
  <c r="H92" i="1"/>
  <c r="H93" i="1"/>
  <c r="H94" i="1"/>
  <c r="H80" i="1"/>
  <c r="H81" i="1"/>
  <c r="G783" i="1"/>
  <c r="G785" i="1"/>
  <c r="G786" i="1"/>
  <c r="G787" i="1"/>
  <c r="G789" i="1"/>
  <c r="G790" i="1"/>
  <c r="G796" i="1"/>
  <c r="G780" i="1"/>
  <c r="G775" i="1"/>
  <c r="G774" i="1"/>
  <c r="G772" i="1"/>
  <c r="G771" i="1"/>
  <c r="G770" i="1"/>
  <c r="G769" i="1"/>
  <c r="G721" i="1"/>
  <c r="G722" i="1"/>
  <c r="G723" i="1"/>
  <c r="G726" i="1"/>
  <c r="G728" i="1"/>
  <c r="G729" i="1"/>
  <c r="G730" i="1"/>
  <c r="G731" i="1"/>
  <c r="G732" i="1"/>
  <c r="G733" i="1"/>
  <c r="G736" i="1"/>
  <c r="G737" i="1"/>
  <c r="G738" i="1"/>
  <c r="G740" i="1"/>
  <c r="G742" i="1"/>
  <c r="G743" i="1"/>
  <c r="G744" i="1"/>
  <c r="G745" i="1"/>
  <c r="G747" i="1"/>
  <c r="G748" i="1"/>
  <c r="G749" i="1"/>
  <c r="G750" i="1"/>
  <c r="G751" i="1"/>
  <c r="G752" i="1"/>
  <c r="G753" i="1"/>
  <c r="G754" i="1"/>
  <c r="G755" i="1"/>
  <c r="G756" i="1"/>
  <c r="G757" i="1"/>
  <c r="G760" i="1"/>
  <c r="G761" i="1"/>
  <c r="G763" i="1"/>
  <c r="G764" i="1"/>
  <c r="G765" i="1"/>
  <c r="G766" i="1"/>
  <c r="G678" i="1"/>
  <c r="G680" i="1"/>
  <c r="G681" i="1"/>
  <c r="G682" i="1"/>
  <c r="G683" i="1"/>
  <c r="G684" i="1"/>
  <c r="G685" i="1"/>
  <c r="G690" i="1"/>
  <c r="G691" i="1"/>
  <c r="G692" i="1"/>
  <c r="G693" i="1"/>
  <c r="G694" i="1"/>
  <c r="G695" i="1"/>
  <c r="G696" i="1"/>
  <c r="G697" i="1"/>
  <c r="G698" i="1"/>
  <c r="G699" i="1"/>
  <c r="G701" i="1"/>
  <c r="G702" i="1"/>
  <c r="G703" i="1"/>
  <c r="G704" i="1"/>
  <c r="G706" i="1"/>
  <c r="G707" i="1"/>
  <c r="G708" i="1"/>
  <c r="G709" i="1"/>
  <c r="G710" i="1"/>
  <c r="G711" i="1"/>
  <c r="G712" i="1"/>
  <c r="G713" i="1"/>
  <c r="G714" i="1"/>
  <c r="G715" i="1"/>
  <c r="G716" i="1"/>
  <c r="G719" i="1"/>
  <c r="G651" i="1"/>
  <c r="G652" i="1"/>
  <c r="G653" i="1"/>
  <c r="G656" i="1"/>
  <c r="G657" i="1"/>
  <c r="G658" i="1"/>
  <c r="G663" i="1"/>
  <c r="G664" i="1"/>
  <c r="G666" i="1"/>
  <c r="G668" i="1"/>
  <c r="G669" i="1"/>
  <c r="G671" i="1"/>
  <c r="G673" i="1"/>
  <c r="G674" i="1"/>
  <c r="G633" i="1"/>
  <c r="G634" i="1"/>
  <c r="G636" i="1"/>
  <c r="G637" i="1"/>
  <c r="G638" i="1"/>
  <c r="G639" i="1"/>
  <c r="G641" i="1"/>
  <c r="G642" i="1"/>
  <c r="G643" i="1"/>
  <c r="G646" i="1"/>
  <c r="G648" i="1"/>
  <c r="G649" i="1"/>
  <c r="G629" i="1"/>
  <c r="G614" i="1"/>
  <c r="G615" i="1"/>
  <c r="G616" i="1"/>
  <c r="G617" i="1"/>
  <c r="G619" i="1"/>
  <c r="G620" i="1"/>
  <c r="G621" i="1"/>
  <c r="G623" i="1"/>
  <c r="G612" i="1"/>
  <c r="G610" i="1"/>
  <c r="G608" i="1"/>
  <c r="G607" i="1"/>
  <c r="G606" i="1"/>
  <c r="G605" i="1"/>
  <c r="G604" i="1"/>
  <c r="G603" i="1"/>
  <c r="G599" i="1"/>
  <c r="G600" i="1"/>
  <c r="G598" i="1"/>
  <c r="G588" i="1"/>
  <c r="G589" i="1"/>
  <c r="G590" i="1"/>
  <c r="G591" i="1"/>
  <c r="G592" i="1"/>
  <c r="G593" i="1"/>
  <c r="G587" i="1"/>
  <c r="G574" i="1"/>
  <c r="G576" i="1"/>
  <c r="G578" i="1"/>
  <c r="G580" i="1"/>
  <c r="G581" i="1"/>
  <c r="G582" i="1"/>
  <c r="G583" i="1"/>
  <c r="G584" i="1"/>
  <c r="G565" i="1"/>
  <c r="G566" i="1"/>
  <c r="G570" i="1"/>
  <c r="G572" i="1"/>
  <c r="G563" i="1"/>
  <c r="G562" i="1"/>
  <c r="G561" i="1"/>
  <c r="G557" i="1"/>
  <c r="G555" i="1"/>
  <c r="G553" i="1"/>
  <c r="G551" i="1"/>
  <c r="G546" i="1"/>
  <c r="G547" i="1"/>
  <c r="G541" i="1"/>
  <c r="G542" i="1"/>
  <c r="G544" i="1"/>
  <c r="G545" i="1"/>
  <c r="G540" i="1"/>
  <c r="G535" i="1"/>
  <c r="G536" i="1"/>
  <c r="G537" i="1"/>
  <c r="G534" i="1"/>
  <c r="G533" i="1"/>
  <c r="G520" i="1"/>
  <c r="G521" i="1"/>
  <c r="G522" i="1"/>
  <c r="G523" i="1"/>
  <c r="G524" i="1"/>
  <c r="G525" i="1"/>
  <c r="G526" i="1"/>
  <c r="G519" i="1"/>
  <c r="G516" i="1"/>
  <c r="G500" i="1"/>
  <c r="G502" i="1"/>
  <c r="G503" i="1"/>
  <c r="G504" i="1"/>
  <c r="G506" i="1"/>
  <c r="G507" i="1"/>
  <c r="G509" i="1"/>
  <c r="G511" i="1"/>
  <c r="G514" i="1"/>
  <c r="G496" i="1"/>
  <c r="G463" i="1"/>
  <c r="G469" i="1"/>
  <c r="G470" i="1"/>
  <c r="G474" i="1"/>
  <c r="G475" i="1"/>
  <c r="G476" i="1"/>
  <c r="G479" i="1"/>
  <c r="G484" i="1"/>
  <c r="G485" i="1"/>
  <c r="G490" i="1"/>
  <c r="G491" i="1"/>
  <c r="G492" i="1"/>
  <c r="G493" i="1"/>
  <c r="G449" i="1"/>
  <c r="G454" i="1"/>
  <c r="G455" i="1"/>
  <c r="G458" i="1"/>
  <c r="G460" i="1"/>
  <c r="G439" i="1"/>
  <c r="G436" i="1"/>
  <c r="G435" i="1"/>
  <c r="G429" i="1"/>
  <c r="G430" i="1"/>
  <c r="G431" i="1"/>
  <c r="G432" i="1"/>
  <c r="G427" i="1"/>
  <c r="G426" i="1"/>
  <c r="G423" i="1"/>
  <c r="G422" i="1"/>
  <c r="G421" i="1"/>
  <c r="G420" i="1"/>
  <c r="G417" i="1"/>
  <c r="G416" i="1"/>
  <c r="G415" i="1"/>
  <c r="G412" i="1"/>
  <c r="G411" i="1"/>
  <c r="G410" i="1"/>
  <c r="G394" i="1"/>
  <c r="G396" i="1"/>
  <c r="G397" i="1"/>
  <c r="G398" i="1"/>
  <c r="G400" i="1"/>
  <c r="G401" i="1"/>
  <c r="G402" i="1"/>
  <c r="G403" i="1"/>
  <c r="G407" i="1"/>
  <c r="G408" i="1"/>
  <c r="G393" i="1"/>
  <c r="G385" i="1"/>
  <c r="G386" i="1"/>
  <c r="G387" i="1"/>
  <c r="G388" i="1"/>
  <c r="G389" i="1"/>
  <c r="G390" i="1"/>
  <c r="G383" i="1"/>
  <c r="G353" i="1"/>
  <c r="G354" i="1"/>
  <c r="G358" i="1"/>
  <c r="G361" i="1"/>
  <c r="G360" i="1"/>
  <c r="G363" i="1"/>
  <c r="G355" i="1"/>
  <c r="G373" i="1"/>
  <c r="G356" i="1"/>
  <c r="G364" i="1"/>
  <c r="G375" i="1"/>
  <c r="G365" i="1"/>
  <c r="G357" i="1"/>
  <c r="G362" i="1"/>
  <c r="G366" i="1"/>
  <c r="G359" i="1"/>
  <c r="G367" i="1"/>
  <c r="G368" i="1"/>
  <c r="G369" i="1"/>
  <c r="G370" i="1"/>
  <c r="G371" i="1"/>
  <c r="G374" i="1"/>
  <c r="G372" i="1"/>
  <c r="G377" i="1"/>
  <c r="G378" i="1"/>
  <c r="G380" i="1"/>
  <c r="G336" i="1"/>
  <c r="G337" i="1"/>
  <c r="G338" i="1"/>
  <c r="G339" i="1"/>
  <c r="G344" i="1"/>
  <c r="G345" i="1"/>
  <c r="G340" i="1"/>
  <c r="G349" i="1"/>
  <c r="G346" i="1"/>
  <c r="G347" i="1"/>
  <c r="G350" i="1"/>
  <c r="G348" i="1"/>
  <c r="G341" i="1"/>
  <c r="G342" i="1"/>
  <c r="G352" i="1"/>
  <c r="G335" i="1"/>
  <c r="G326" i="1"/>
  <c r="G327" i="1"/>
  <c r="G329" i="1"/>
  <c r="G330" i="1"/>
  <c r="G331" i="1"/>
  <c r="G332" i="1"/>
  <c r="G325" i="1"/>
  <c r="G305" i="1"/>
  <c r="G306" i="1"/>
  <c r="G308" i="1"/>
  <c r="G309" i="1"/>
  <c r="G310" i="1"/>
  <c r="G313" i="1"/>
  <c r="G314" i="1"/>
  <c r="G315" i="1"/>
  <c r="G317" i="1"/>
  <c r="G318" i="1"/>
  <c r="G320" i="1"/>
  <c r="G301" i="1"/>
  <c r="G302" i="1"/>
  <c r="G304" i="1"/>
  <c r="G299" i="1"/>
  <c r="G294" i="1"/>
  <c r="G295" i="1"/>
  <c r="G296" i="1"/>
  <c r="G293" i="1"/>
  <c r="G278" i="1"/>
  <c r="G279" i="1"/>
  <c r="G280" i="1"/>
  <c r="G281" i="1"/>
  <c r="G282" i="1"/>
  <c r="G283" i="1"/>
  <c r="G285" i="1"/>
  <c r="G289" i="1"/>
  <c r="G290" i="1"/>
  <c r="G268" i="1"/>
  <c r="G269" i="1"/>
  <c r="G270" i="1"/>
  <c r="G271" i="1"/>
  <c r="G273" i="1"/>
  <c r="G274" i="1"/>
  <c r="G264" i="1"/>
  <c r="G265" i="1"/>
  <c r="G266" i="1"/>
  <c r="G254" i="1"/>
  <c r="G252" i="1"/>
  <c r="G251" i="1"/>
  <c r="G250" i="1"/>
  <c r="I261" i="1"/>
  <c r="G244" i="1"/>
  <c r="G245" i="1"/>
  <c r="G229" i="1"/>
  <c r="G230" i="1"/>
  <c r="G231" i="1"/>
  <c r="G233" i="1"/>
  <c r="G234" i="1"/>
  <c r="G241" i="1"/>
  <c r="G243" i="1"/>
  <c r="G213" i="1"/>
  <c r="G215" i="1"/>
  <c r="G226" i="1"/>
  <c r="G228" i="1"/>
  <c r="G199" i="1"/>
  <c r="G212" i="1"/>
  <c r="G197" i="1"/>
  <c r="G184" i="1"/>
  <c r="G180" i="1"/>
  <c r="G181" i="1"/>
  <c r="G179" i="1"/>
  <c r="G177" i="1"/>
  <c r="G166" i="1"/>
  <c r="G167" i="1"/>
  <c r="G168" i="1"/>
  <c r="G149" i="1"/>
  <c r="G150" i="1"/>
  <c r="G151" i="1"/>
  <c r="G152" i="1"/>
  <c r="G153" i="1"/>
  <c r="G154" i="1"/>
  <c r="G158" i="1"/>
  <c r="G159" i="1"/>
  <c r="G161" i="1"/>
  <c r="G144" i="1"/>
  <c r="G148" i="1"/>
  <c r="G116" i="1"/>
  <c r="G118" i="1"/>
  <c r="G119" i="1"/>
  <c r="G123" i="1"/>
  <c r="G124" i="1"/>
  <c r="G104" i="1"/>
  <c r="G105" i="1"/>
  <c r="G106" i="1"/>
  <c r="G108" i="1"/>
  <c r="G110" i="1"/>
  <c r="G111" i="1"/>
  <c r="G112" i="1"/>
  <c r="G113" i="1"/>
  <c r="G115" i="1"/>
  <c r="G90" i="1"/>
  <c r="G91" i="1"/>
  <c r="G92" i="1"/>
  <c r="G93" i="1"/>
  <c r="G94" i="1"/>
  <c r="G95" i="1"/>
  <c r="G96" i="1"/>
  <c r="G97" i="1"/>
  <c r="G98" i="1"/>
  <c r="G99" i="1"/>
  <c r="G100" i="1"/>
  <c r="G102" i="1"/>
  <c r="G71" i="1"/>
  <c r="G72" i="1"/>
  <c r="G73" i="1"/>
  <c r="G74" i="1"/>
  <c r="G77" i="1"/>
  <c r="G78" i="1"/>
  <c r="G79" i="1"/>
  <c r="G80" i="1"/>
  <c r="G81" i="1"/>
  <c r="G82" i="1"/>
  <c r="G83" i="1"/>
  <c r="G85" i="1"/>
  <c r="G86" i="1"/>
  <c r="G57" i="1"/>
  <c r="G59" i="1"/>
  <c r="G61" i="1"/>
  <c r="G62" i="1"/>
  <c r="G64" i="1"/>
  <c r="G65" i="1"/>
  <c r="G67" i="1"/>
  <c r="G68" i="1"/>
  <c r="G69" i="1"/>
  <c r="C797" i="1"/>
  <c r="C791" i="1"/>
  <c r="C788" i="1"/>
  <c r="G788" i="1" s="1"/>
  <c r="C784" i="1"/>
  <c r="G784" i="1" s="1"/>
  <c r="C781" i="1"/>
  <c r="G781" i="1" s="1"/>
  <c r="C768" i="1"/>
  <c r="C47" i="1" s="1"/>
  <c r="C762" i="1"/>
  <c r="G762" i="1" s="1"/>
  <c r="C759" i="1"/>
  <c r="C746" i="1"/>
  <c r="C735" i="1"/>
  <c r="G735" i="1" s="1"/>
  <c r="G727" i="1"/>
  <c r="C705" i="1"/>
  <c r="G705" i="1" s="1"/>
  <c r="C700" i="1"/>
  <c r="G700" i="1" s="1"/>
  <c r="C679" i="1"/>
  <c r="C677" i="1" s="1"/>
  <c r="G677" i="1" s="1"/>
  <c r="C672" i="1"/>
  <c r="C670" i="1" s="1"/>
  <c r="G670" i="1" s="1"/>
  <c r="C667" i="1"/>
  <c r="C665" i="1" s="1"/>
  <c r="G665" i="1" s="1"/>
  <c r="C662" i="1"/>
  <c r="G662" i="1" s="1"/>
  <c r="C655" i="1"/>
  <c r="G655" i="1" s="1"/>
  <c r="C650" i="1"/>
  <c r="G650" i="1" s="1"/>
  <c r="C647" i="1"/>
  <c r="G647" i="1" s="1"/>
  <c r="C645" i="1"/>
  <c r="G645" i="1" s="1"/>
  <c r="C640" i="1"/>
  <c r="G640" i="1" s="1"/>
  <c r="C635" i="1"/>
  <c r="G635" i="1" s="1"/>
  <c r="C632" i="1"/>
  <c r="C622" i="1"/>
  <c r="C613" i="1"/>
  <c r="C611" i="1" s="1"/>
  <c r="C597" i="1"/>
  <c r="G597" i="1" s="1"/>
  <c r="C586" i="1"/>
  <c r="C579" i="1"/>
  <c r="G579" i="1" s="1"/>
  <c r="C577" i="1"/>
  <c r="G577" i="1" s="1"/>
  <c r="C575" i="1"/>
  <c r="G575" i="1" s="1"/>
  <c r="C573" i="1"/>
  <c r="G573" i="1" s="1"/>
  <c r="C571" i="1"/>
  <c r="G571" i="1" s="1"/>
  <c r="C569" i="1"/>
  <c r="G569" i="1" s="1"/>
  <c r="C567" i="1"/>
  <c r="C564" i="1"/>
  <c r="C556" i="1"/>
  <c r="C552" i="1" s="1"/>
  <c r="C549" i="1" s="1"/>
  <c r="C543" i="1"/>
  <c r="G543" i="1" s="1"/>
  <c r="C539" i="1"/>
  <c r="G539" i="1" s="1"/>
  <c r="C530" i="1"/>
  <c r="C529" i="1" s="1"/>
  <c r="G529" i="1" s="1"/>
  <c r="C518" i="1"/>
  <c r="C517" i="1" s="1"/>
  <c r="C33" i="1" s="1"/>
  <c r="C515" i="1"/>
  <c r="G515" i="1" s="1"/>
  <c r="C513" i="1"/>
  <c r="G513" i="1" s="1"/>
  <c r="C505" i="1"/>
  <c r="G505" i="1" s="1"/>
  <c r="C501" i="1"/>
  <c r="G501" i="1" s="1"/>
  <c r="C499" i="1"/>
  <c r="C498" i="1" s="1"/>
  <c r="G498" i="1" s="1"/>
  <c r="C497" i="1"/>
  <c r="C495" i="1" s="1"/>
  <c r="G495" i="1" s="1"/>
  <c r="C489" i="1"/>
  <c r="G489" i="1" s="1"/>
  <c r="C486" i="1"/>
  <c r="G486" i="1" s="1"/>
  <c r="C481" i="1"/>
  <c r="G481" i="1" s="1"/>
  <c r="C480" i="1"/>
  <c r="C473" i="1"/>
  <c r="G473" i="1" s="1"/>
  <c r="C471" i="1"/>
  <c r="C464" i="1"/>
  <c r="G464" i="1" s="1"/>
  <c r="C459" i="1"/>
  <c r="C457" i="1" s="1"/>
  <c r="G457" i="1" s="1"/>
  <c r="C453" i="1"/>
  <c r="G453" i="1" s="1"/>
  <c r="C451" i="1"/>
  <c r="C450" i="1"/>
  <c r="C444" i="1"/>
  <c r="G444" i="1" s="1"/>
  <c r="C29" i="1"/>
  <c r="C434" i="1"/>
  <c r="C28" i="1" s="1"/>
  <c r="C428" i="1"/>
  <c r="C425" i="1" s="1"/>
  <c r="C419" i="1"/>
  <c r="C26" i="1" s="1"/>
  <c r="C414" i="1"/>
  <c r="G414" i="1" s="1"/>
  <c r="C409" i="1"/>
  <c r="G409" i="1" s="1"/>
  <c r="C406" i="1"/>
  <c r="G406" i="1" s="1"/>
  <c r="C399" i="1"/>
  <c r="G399" i="1" s="1"/>
  <c r="C395" i="1"/>
  <c r="G395" i="1" s="1"/>
  <c r="C392" i="1"/>
  <c r="C384" i="1"/>
  <c r="C382" i="1"/>
  <c r="G382" i="1" s="1"/>
  <c r="C379" i="1"/>
  <c r="G379" i="1" s="1"/>
  <c r="C351" i="1"/>
  <c r="G351" i="1" s="1"/>
  <c r="C343" i="1"/>
  <c r="C334" i="1" s="1"/>
  <c r="C328" i="1"/>
  <c r="G328" i="1" s="1"/>
  <c r="C324" i="1"/>
  <c r="C319" i="1"/>
  <c r="G319" i="1" s="1"/>
  <c r="C316" i="1"/>
  <c r="G316" i="1" s="1"/>
  <c r="C312" i="1"/>
  <c r="G312" i="1" s="1"/>
  <c r="C307" i="1"/>
  <c r="G307" i="1" s="1"/>
  <c r="C303" i="1"/>
  <c r="G303" i="1" s="1"/>
  <c r="C300" i="1"/>
  <c r="G300" i="1" s="1"/>
  <c r="C298" i="1"/>
  <c r="C292" i="1"/>
  <c r="C291" i="1" s="1"/>
  <c r="C17" i="1" s="1"/>
  <c r="C288" i="1"/>
  <c r="G288" i="1" s="1"/>
  <c r="C284" i="1"/>
  <c r="G284" i="1" s="1"/>
  <c r="C277" i="1"/>
  <c r="C276" i="1" s="1"/>
  <c r="C272" i="1"/>
  <c r="G272" i="1" s="1"/>
  <c r="C267" i="1"/>
  <c r="G267" i="1" s="1"/>
  <c r="C263" i="1"/>
  <c r="G263" i="1" s="1"/>
  <c r="C253" i="1"/>
  <c r="G253" i="1" s="1"/>
  <c r="C242" i="1"/>
  <c r="G242" i="1" s="1"/>
  <c r="G232" i="1"/>
  <c r="C227" i="1"/>
  <c r="G227" i="1" s="1"/>
  <c r="C220" i="1"/>
  <c r="C211" i="1"/>
  <c r="G211" i="1" s="1"/>
  <c r="G196" i="1"/>
  <c r="C194" i="1"/>
  <c r="C185" i="1"/>
  <c r="G185" i="1" s="1"/>
  <c r="C178" i="1"/>
  <c r="C175" i="1"/>
  <c r="G175" i="1" s="1"/>
  <c r="C163" i="1"/>
  <c r="G163" i="1" s="1"/>
  <c r="G146" i="1"/>
  <c r="C128" i="1"/>
  <c r="C114" i="1"/>
  <c r="G114" i="1" s="1"/>
  <c r="C109" i="1"/>
  <c r="C107" i="1"/>
  <c r="G107" i="1" s="1"/>
  <c r="C89" i="1"/>
  <c r="C76" i="1"/>
  <c r="G76" i="1" s="1"/>
  <c r="C70" i="1"/>
  <c r="G70" i="1" s="1"/>
  <c r="C66" i="1"/>
  <c r="G66" i="1" s="1"/>
  <c r="C60" i="1"/>
  <c r="G60" i="1" s="1"/>
  <c r="C58" i="1"/>
  <c r="G58" i="1" s="1"/>
  <c r="C56" i="1"/>
  <c r="G56" i="1" s="1"/>
  <c r="C55" i="1"/>
  <c r="G55" i="1" s="1"/>
  <c r="C54" i="1"/>
  <c r="C48" i="1"/>
  <c r="C43" i="1"/>
  <c r="C42" i="1"/>
  <c r="C41" i="1"/>
  <c r="I795" i="1"/>
  <c r="J666" i="1"/>
  <c r="I666" i="1" s="1"/>
  <c r="I465" i="1"/>
  <c r="D50" i="4" l="1"/>
  <c r="H11" i="4" s="1"/>
  <c r="H876" i="4"/>
  <c r="H50" i="4" s="1"/>
  <c r="C795" i="1"/>
  <c r="G795" i="1" s="1"/>
  <c r="G689" i="1"/>
  <c r="G194" i="1"/>
  <c r="C190" i="1"/>
  <c r="C448" i="3"/>
  <c r="C30" i="3" s="1"/>
  <c r="G46" i="2"/>
  <c r="G56" i="2" s="1"/>
  <c r="G57" i="2" s="1"/>
  <c r="G60" i="2" s="1"/>
  <c r="G96" i="2" s="1"/>
  <c r="G89" i="1"/>
  <c r="I46" i="2"/>
  <c r="I56" i="2" s="1"/>
  <c r="I57" i="2" s="1"/>
  <c r="I60" i="2" s="1"/>
  <c r="D31" i="3"/>
  <c r="D448" i="3"/>
  <c r="C45" i="3"/>
  <c r="D19" i="3"/>
  <c r="D265" i="3"/>
  <c r="D7" i="3"/>
  <c r="D634" i="3"/>
  <c r="C809" i="3"/>
  <c r="C14" i="3"/>
  <c r="C7" i="3"/>
  <c r="C265" i="3"/>
  <c r="C741" i="1"/>
  <c r="G741" i="1" s="1"/>
  <c r="C446" i="1"/>
  <c r="G446" i="1" s="1"/>
  <c r="G564" i="1"/>
  <c r="C560" i="1"/>
  <c r="G560" i="1" s="1"/>
  <c r="G392" i="1"/>
  <c r="C391" i="1"/>
  <c r="C323" i="1"/>
  <c r="G323" i="1" s="1"/>
  <c r="C101" i="1"/>
  <c r="G101" i="1" s="1"/>
  <c r="C249" i="1"/>
  <c r="C8" i="1" s="1"/>
  <c r="G434" i="1"/>
  <c r="G517" i="1"/>
  <c r="C24" i="1"/>
  <c r="C311" i="1"/>
  <c r="G311" i="1" s="1"/>
  <c r="C448" i="1"/>
  <c r="G448" i="1" s="1"/>
  <c r="C25" i="1"/>
  <c r="C488" i="1"/>
  <c r="G488" i="1" s="1"/>
  <c r="G667" i="1"/>
  <c r="C262" i="1"/>
  <c r="C15" i="1" s="1"/>
  <c r="G518" i="1"/>
  <c r="G768" i="1"/>
  <c r="C466" i="1"/>
  <c r="G466" i="1" s="1"/>
  <c r="C483" i="1"/>
  <c r="G483" i="1" s="1"/>
  <c r="C510" i="1"/>
  <c r="C508" i="1" s="1"/>
  <c r="G508" i="1" s="1"/>
  <c r="G459" i="1"/>
  <c r="C176" i="1"/>
  <c r="G176" i="1" s="1"/>
  <c r="G178" i="1"/>
  <c r="G298" i="1"/>
  <c r="G428" i="1"/>
  <c r="G552" i="1"/>
  <c r="C758" i="1"/>
  <c r="G758" i="1" s="1"/>
  <c r="G759" i="1"/>
  <c r="C53" i="1"/>
  <c r="G53" i="1" s="1"/>
  <c r="G54" i="1"/>
  <c r="C275" i="1"/>
  <c r="G276" i="1"/>
  <c r="C618" i="1"/>
  <c r="G618" i="1" s="1"/>
  <c r="G622" i="1"/>
  <c r="G277" i="1"/>
  <c r="G324" i="1"/>
  <c r="C585" i="1"/>
  <c r="G586" i="1"/>
  <c r="G450" i="1"/>
  <c r="C478" i="1"/>
  <c r="G478" i="1" s="1"/>
  <c r="C465" i="1"/>
  <c r="G465" i="1" s="1"/>
  <c r="G480" i="1"/>
  <c r="C333" i="1"/>
  <c r="C381" i="1"/>
  <c r="G451" i="1"/>
  <c r="G471" i="1"/>
  <c r="G530" i="1"/>
  <c r="G556" i="1"/>
  <c r="G672" i="1"/>
  <c r="C596" i="1"/>
  <c r="C631" i="1"/>
  <c r="G631" i="1" s="1"/>
  <c r="G291" i="1"/>
  <c r="G438" i="1"/>
  <c r="G497" i="1"/>
  <c r="G611" i="1"/>
  <c r="G679" i="1"/>
  <c r="G746" i="1"/>
  <c r="G109" i="1"/>
  <c r="G419" i="1"/>
  <c r="G292" i="1"/>
  <c r="G334" i="1"/>
  <c r="G343" i="1"/>
  <c r="G384" i="1"/>
  <c r="G499" i="1"/>
  <c r="G527" i="1"/>
  <c r="G613" i="1"/>
  <c r="G632" i="1"/>
  <c r="G773" i="1"/>
  <c r="G797" i="1"/>
  <c r="C445" i="1"/>
  <c r="C468" i="1"/>
  <c r="G468" i="1" s="1"/>
  <c r="C538" i="1"/>
  <c r="C644" i="1"/>
  <c r="G644" i="1" s="1"/>
  <c r="C661" i="1"/>
  <c r="C528" i="1"/>
  <c r="E50" i="1"/>
  <c r="F50" i="1"/>
  <c r="E49" i="1"/>
  <c r="F49" i="1"/>
  <c r="I49" i="1"/>
  <c r="E48" i="1"/>
  <c r="F48" i="1"/>
  <c r="E47" i="1"/>
  <c r="F47" i="1"/>
  <c r="I47" i="1"/>
  <c r="E46" i="1"/>
  <c r="F46" i="1"/>
  <c r="I46" i="1"/>
  <c r="E44" i="1"/>
  <c r="E43" i="1"/>
  <c r="F43" i="1"/>
  <c r="E42" i="1"/>
  <c r="F42" i="1"/>
  <c r="E41" i="1"/>
  <c r="F41" i="1"/>
  <c r="E40" i="1"/>
  <c r="F40" i="1"/>
  <c r="I40" i="1"/>
  <c r="E39" i="1"/>
  <c r="F39" i="1"/>
  <c r="I39" i="1"/>
  <c r="E38" i="1"/>
  <c r="F38" i="1"/>
  <c r="E37" i="1"/>
  <c r="F37" i="1"/>
  <c r="E36" i="1"/>
  <c r="F36" i="1"/>
  <c r="E35" i="1"/>
  <c r="F35" i="1"/>
  <c r="E34" i="1"/>
  <c r="F34" i="1"/>
  <c r="E33" i="1"/>
  <c r="F33" i="1"/>
  <c r="E32" i="1"/>
  <c r="E31" i="1"/>
  <c r="F31" i="1"/>
  <c r="E30" i="1"/>
  <c r="E29" i="1"/>
  <c r="F29" i="1"/>
  <c r="E28" i="1"/>
  <c r="F28" i="1"/>
  <c r="E27" i="1"/>
  <c r="F27" i="1"/>
  <c r="E26" i="1"/>
  <c r="E25" i="1"/>
  <c r="F25" i="1"/>
  <c r="E19" i="1"/>
  <c r="F19" i="1"/>
  <c r="I19" i="1"/>
  <c r="E24" i="1"/>
  <c r="F24" i="1"/>
  <c r="E23" i="1"/>
  <c r="F23" i="1"/>
  <c r="I23" i="1"/>
  <c r="E22" i="1"/>
  <c r="F22" i="1"/>
  <c r="I22" i="1"/>
  <c r="E21" i="1"/>
  <c r="F21" i="1"/>
  <c r="I21" i="1"/>
  <c r="E20" i="1"/>
  <c r="F20" i="1"/>
  <c r="I20" i="1"/>
  <c r="E18" i="1"/>
  <c r="F18" i="1"/>
  <c r="E17" i="1"/>
  <c r="F17" i="1"/>
  <c r="I17" i="1"/>
  <c r="E16" i="1"/>
  <c r="F16" i="1"/>
  <c r="E14" i="1"/>
  <c r="F14" i="1"/>
  <c r="I14" i="1"/>
  <c r="E9" i="1"/>
  <c r="E804" i="1" s="1"/>
  <c r="F9" i="1"/>
  <c r="I9" i="1"/>
  <c r="E8" i="1"/>
  <c r="E7" i="1"/>
  <c r="F7" i="1"/>
  <c r="I7" i="1"/>
  <c r="E6" i="1"/>
  <c r="F6" i="1"/>
  <c r="D211" i="1"/>
  <c r="E5" i="1"/>
  <c r="F5" i="1"/>
  <c r="E4" i="1"/>
  <c r="F4" i="1"/>
  <c r="D114" i="1"/>
  <c r="D89" i="1"/>
  <c r="C779" i="1" l="1"/>
  <c r="C49" i="1" s="1"/>
  <c r="G725" i="1"/>
  <c r="C88" i="1"/>
  <c r="C602" i="1"/>
  <c r="G602" i="1" s="1"/>
  <c r="D9" i="3"/>
  <c r="D45" i="3"/>
  <c r="D809" i="3"/>
  <c r="C9" i="3"/>
  <c r="C49" i="3"/>
  <c r="C11" i="3" s="1"/>
  <c r="D30" i="3"/>
  <c r="C297" i="1"/>
  <c r="C261" i="1" s="1"/>
  <c r="G261" i="1" s="1"/>
  <c r="G14" i="1" s="1"/>
  <c r="C174" i="1"/>
  <c r="G174" i="1" s="1"/>
  <c r="G5" i="1" s="1"/>
  <c r="G249" i="1"/>
  <c r="C3" i="1"/>
  <c r="G88" i="1"/>
  <c r="C462" i="1"/>
  <c r="G462" i="1" s="1"/>
  <c r="C494" i="1"/>
  <c r="C32" i="1" s="1"/>
  <c r="C20" i="1"/>
  <c r="G510" i="1"/>
  <c r="C322" i="1"/>
  <c r="C19" i="1" s="1"/>
  <c r="C6" i="1"/>
  <c r="G190" i="1"/>
  <c r="G6" i="1" s="1"/>
  <c r="C630" i="1"/>
  <c r="G585" i="1"/>
  <c r="G39" i="1" s="1"/>
  <c r="C39" i="1"/>
  <c r="C36" i="1"/>
  <c r="G549" i="1"/>
  <c r="C34" i="1"/>
  <c r="G528" i="1"/>
  <c r="C559" i="1"/>
  <c r="C532" i="1"/>
  <c r="G538" i="1"/>
  <c r="C443" i="1"/>
  <c r="G443" i="1" s="1"/>
  <c r="G445" i="1"/>
  <c r="C22" i="1"/>
  <c r="G381" i="1"/>
  <c r="C654" i="1"/>
  <c r="G661" i="1"/>
  <c r="C23" i="1"/>
  <c r="G391" i="1"/>
  <c r="G23" i="1" s="1"/>
  <c r="C40" i="1"/>
  <c r="G596" i="1"/>
  <c r="G40" i="1" s="1"/>
  <c r="C38" i="1"/>
  <c r="G779" i="1"/>
  <c r="G49" i="1" s="1"/>
  <c r="C21" i="1"/>
  <c r="G333" i="1"/>
  <c r="C16" i="1"/>
  <c r="G275" i="1"/>
  <c r="C27" i="1"/>
  <c r="G425" i="1"/>
  <c r="E3" i="1"/>
  <c r="F3" i="1"/>
  <c r="D76" i="1"/>
  <c r="D66" i="1"/>
  <c r="I800" i="1"/>
  <c r="I50" i="1" s="1"/>
  <c r="I797" i="1"/>
  <c r="I794" i="1"/>
  <c r="I792" i="1"/>
  <c r="I791" i="1"/>
  <c r="I790" i="1"/>
  <c r="I789" i="1"/>
  <c r="I788" i="1"/>
  <c r="I787" i="1"/>
  <c r="I786" i="1"/>
  <c r="I785" i="1"/>
  <c r="I784" i="1"/>
  <c r="I783" i="1"/>
  <c r="I782" i="1"/>
  <c r="I781" i="1"/>
  <c r="I780" i="1"/>
  <c r="I773" i="1"/>
  <c r="I771" i="1"/>
  <c r="I769" i="1"/>
  <c r="G47" i="1"/>
  <c r="I763" i="1"/>
  <c r="I762" i="1"/>
  <c r="I760" i="1"/>
  <c r="I759" i="1"/>
  <c r="I758" i="1"/>
  <c r="I757" i="1"/>
  <c r="I746" i="1"/>
  <c r="I744" i="1"/>
  <c r="I742" i="1"/>
  <c r="I741" i="1"/>
  <c r="I732" i="1"/>
  <c r="I726" i="1"/>
  <c r="I725" i="1"/>
  <c r="H578" i="1"/>
  <c r="H547" i="1"/>
  <c r="I547" i="1"/>
  <c r="I510" i="1"/>
  <c r="I483" i="1"/>
  <c r="I435" i="1"/>
  <c r="H435" i="1"/>
  <c r="I422" i="1"/>
  <c r="H422" i="1"/>
  <c r="I416" i="1"/>
  <c r="H416" i="1"/>
  <c r="I415" i="1"/>
  <c r="H415" i="1"/>
  <c r="H412" i="1"/>
  <c r="I412" i="1"/>
  <c r="H407" i="1"/>
  <c r="I383" i="1"/>
  <c r="H383" i="1"/>
  <c r="H270" i="1"/>
  <c r="H269" i="1"/>
  <c r="H268" i="1"/>
  <c r="H266" i="1"/>
  <c r="H265" i="1"/>
  <c r="H264" i="1"/>
  <c r="H254" i="1"/>
  <c r="H252" i="1"/>
  <c r="H193" i="1"/>
  <c r="I190" i="1"/>
  <c r="I6" i="1" s="1"/>
  <c r="H177" i="1"/>
  <c r="H83" i="1"/>
  <c r="I83" i="1"/>
  <c r="H85" i="1"/>
  <c r="I85" i="1"/>
  <c r="I88" i="1"/>
  <c r="I4" i="1" s="1"/>
  <c r="C718" i="1" l="1"/>
  <c r="G720" i="1"/>
  <c r="C247" i="1"/>
  <c r="G247" i="1" s="1"/>
  <c r="G7" i="1" s="1"/>
  <c r="D49" i="3"/>
  <c r="D11" i="3" s="1"/>
  <c r="G630" i="1"/>
  <c r="C44" i="1"/>
  <c r="C18" i="1"/>
  <c r="C5" i="1"/>
  <c r="G297" i="1"/>
  <c r="G494" i="1"/>
  <c r="C4" i="1"/>
  <c r="C14" i="1"/>
  <c r="G322" i="1"/>
  <c r="C37" i="1"/>
  <c r="G559" i="1"/>
  <c r="G654" i="1"/>
  <c r="C442" i="1"/>
  <c r="C35" i="1"/>
  <c r="G532" i="1"/>
  <c r="H693" i="1"/>
  <c r="H692" i="1"/>
  <c r="H691" i="1"/>
  <c r="H690" i="1"/>
  <c r="I685" i="1"/>
  <c r="H685" i="1"/>
  <c r="I684" i="1"/>
  <c r="H684" i="1"/>
  <c r="I683" i="1"/>
  <c r="H683" i="1"/>
  <c r="I682" i="1"/>
  <c r="H682" i="1"/>
  <c r="H681" i="1"/>
  <c r="H678" i="1"/>
  <c r="H674" i="1"/>
  <c r="H673" i="1"/>
  <c r="H671" i="1"/>
  <c r="H669" i="1"/>
  <c r="H663" i="1"/>
  <c r="H660" i="1"/>
  <c r="H658" i="1"/>
  <c r="H657" i="1"/>
  <c r="H656" i="1"/>
  <c r="H653" i="1"/>
  <c r="H652" i="1"/>
  <c r="H651" i="1"/>
  <c r="H649" i="1"/>
  <c r="I648" i="1"/>
  <c r="H648" i="1"/>
  <c r="I647" i="1"/>
  <c r="H646" i="1"/>
  <c r="I645" i="1"/>
  <c r="I644" i="1"/>
  <c r="H643" i="1"/>
  <c r="H642" i="1"/>
  <c r="H641" i="1"/>
  <c r="H638" i="1"/>
  <c r="H637" i="1"/>
  <c r="H636" i="1"/>
  <c r="I635" i="1"/>
  <c r="H634" i="1"/>
  <c r="H633" i="1"/>
  <c r="I632" i="1"/>
  <c r="H629" i="1"/>
  <c r="I623" i="1"/>
  <c r="H623" i="1"/>
  <c r="I622" i="1"/>
  <c r="I621" i="1"/>
  <c r="H621" i="1"/>
  <c r="I620" i="1"/>
  <c r="H620" i="1"/>
  <c r="I618" i="1"/>
  <c r="H617" i="1"/>
  <c r="H616" i="1"/>
  <c r="H615" i="1"/>
  <c r="H614" i="1"/>
  <c r="I613" i="1"/>
  <c r="I612" i="1"/>
  <c r="H612" i="1"/>
  <c r="H610" i="1"/>
  <c r="H608" i="1"/>
  <c r="H607" i="1"/>
  <c r="H606" i="1"/>
  <c r="H605" i="1"/>
  <c r="H604" i="1"/>
  <c r="I603" i="1"/>
  <c r="H603" i="1"/>
  <c r="I602" i="1"/>
  <c r="I44" i="1" s="1"/>
  <c r="F44" i="1"/>
  <c r="I600" i="1"/>
  <c r="I43" i="1" s="1"/>
  <c r="H600" i="1"/>
  <c r="H43" i="1" s="1"/>
  <c r="G43" i="1"/>
  <c r="I599" i="1"/>
  <c r="I42" i="1" s="1"/>
  <c r="H599" i="1"/>
  <c r="H42" i="1" s="1"/>
  <c r="G42" i="1"/>
  <c r="I598" i="1"/>
  <c r="I41" i="1" s="1"/>
  <c r="H598" i="1"/>
  <c r="H41" i="1" s="1"/>
  <c r="G41" i="1"/>
  <c r="I597" i="1"/>
  <c r="H594" i="1"/>
  <c r="H593" i="1"/>
  <c r="H592" i="1"/>
  <c r="H591" i="1"/>
  <c r="H590" i="1"/>
  <c r="H589" i="1"/>
  <c r="H588" i="1"/>
  <c r="I586" i="1"/>
  <c r="H583" i="1"/>
  <c r="I582" i="1"/>
  <c r="H582" i="1"/>
  <c r="I581" i="1"/>
  <c r="H581" i="1"/>
  <c r="I580" i="1"/>
  <c r="H580" i="1"/>
  <c r="I579" i="1"/>
  <c r="H576" i="1"/>
  <c r="H574" i="1"/>
  <c r="H570" i="1"/>
  <c r="H566" i="1"/>
  <c r="I565" i="1"/>
  <c r="H565" i="1"/>
  <c r="H563" i="1"/>
  <c r="H562" i="1"/>
  <c r="I561" i="1"/>
  <c r="H561" i="1"/>
  <c r="I560" i="1"/>
  <c r="I38" i="1" s="1"/>
  <c r="I559" i="1"/>
  <c r="I37" i="1" s="1"/>
  <c r="I557" i="1"/>
  <c r="H557" i="1"/>
  <c r="I556" i="1"/>
  <c r="I553" i="1"/>
  <c r="H553" i="1"/>
  <c r="I552" i="1"/>
  <c r="I551" i="1"/>
  <c r="H551" i="1"/>
  <c r="I549" i="1"/>
  <c r="I36" i="1" s="1"/>
  <c r="I546" i="1"/>
  <c r="H546" i="1"/>
  <c r="I545" i="1"/>
  <c r="H545" i="1"/>
  <c r="I544" i="1"/>
  <c r="H544" i="1"/>
  <c r="I543" i="1"/>
  <c r="H542" i="1"/>
  <c r="I541" i="1"/>
  <c r="H541" i="1"/>
  <c r="H540" i="1"/>
  <c r="I539" i="1"/>
  <c r="H539" i="1"/>
  <c r="I538" i="1"/>
  <c r="F538" i="1"/>
  <c r="I537" i="1"/>
  <c r="H537" i="1"/>
  <c r="H535" i="1"/>
  <c r="I534" i="1"/>
  <c r="H534" i="1"/>
  <c r="I533" i="1"/>
  <c r="H533" i="1"/>
  <c r="I532" i="1"/>
  <c r="I35" i="1" s="1"/>
  <c r="I530" i="1"/>
  <c r="I529" i="1"/>
  <c r="I528" i="1"/>
  <c r="I34" i="1" s="1"/>
  <c r="G34" i="1"/>
  <c r="H526" i="1"/>
  <c r="H525" i="1"/>
  <c r="I521" i="1"/>
  <c r="I520" i="1"/>
  <c r="H519" i="1"/>
  <c r="I518" i="1"/>
  <c r="I517" i="1"/>
  <c r="I33" i="1" s="1"/>
  <c r="I516" i="1"/>
  <c r="H516" i="1"/>
  <c r="I515" i="1"/>
  <c r="H514" i="1"/>
  <c r="I511" i="1"/>
  <c r="H511" i="1"/>
  <c r="H509" i="1"/>
  <c r="I508" i="1"/>
  <c r="I507" i="1"/>
  <c r="H507" i="1"/>
  <c r="H506" i="1"/>
  <c r="H504" i="1"/>
  <c r="H503" i="1"/>
  <c r="H502" i="1"/>
  <c r="I501" i="1"/>
  <c r="I500" i="1"/>
  <c r="H500" i="1"/>
  <c r="I499" i="1"/>
  <c r="I498" i="1"/>
  <c r="I497" i="1"/>
  <c r="I496" i="1"/>
  <c r="H496" i="1"/>
  <c r="I495" i="1"/>
  <c r="I494" i="1"/>
  <c r="I32" i="1" s="1"/>
  <c r="F32" i="1"/>
  <c r="I493" i="1"/>
  <c r="H493" i="1"/>
  <c r="H491" i="1"/>
  <c r="H490" i="1"/>
  <c r="I489" i="1"/>
  <c r="I488" i="1"/>
  <c r="H485" i="1"/>
  <c r="I484" i="1"/>
  <c r="H484" i="1"/>
  <c r="I481" i="1"/>
  <c r="I480" i="1"/>
  <c r="I479" i="1"/>
  <c r="H479" i="1"/>
  <c r="I478" i="1"/>
  <c r="H476" i="1"/>
  <c r="H475" i="1"/>
  <c r="I474" i="1"/>
  <c r="H474" i="1"/>
  <c r="I473" i="1"/>
  <c r="H470" i="1"/>
  <c r="I469" i="1"/>
  <c r="H469" i="1"/>
  <c r="I466" i="1"/>
  <c r="I464" i="1"/>
  <c r="I463" i="1"/>
  <c r="H463" i="1"/>
  <c r="I462" i="1"/>
  <c r="H460" i="1"/>
  <c r="I458" i="1"/>
  <c r="H458" i="1"/>
  <c r="I457" i="1"/>
  <c r="H455" i="1"/>
  <c r="I454" i="1"/>
  <c r="H454" i="1"/>
  <c r="I453" i="1"/>
  <c r="I449" i="1"/>
  <c r="H449" i="1"/>
  <c r="I448" i="1"/>
  <c r="I445" i="1"/>
  <c r="I444" i="1"/>
  <c r="I442" i="1"/>
  <c r="I31" i="1" s="1"/>
  <c r="I441" i="1"/>
  <c r="I30" i="1" s="1"/>
  <c r="F30" i="1"/>
  <c r="I29" i="1"/>
  <c r="I436" i="1"/>
  <c r="H436" i="1"/>
  <c r="I434" i="1"/>
  <c r="I28" i="1" s="1"/>
  <c r="G28" i="1"/>
  <c r="I430" i="1"/>
  <c r="H430" i="1"/>
  <c r="I429" i="1"/>
  <c r="I428" i="1"/>
  <c r="H426" i="1"/>
  <c r="I425" i="1"/>
  <c r="I27" i="1" s="1"/>
  <c r="I423" i="1"/>
  <c r="H423" i="1"/>
  <c r="I421" i="1"/>
  <c r="H420" i="1"/>
  <c r="I420" i="1"/>
  <c r="F26" i="1"/>
  <c r="G26" i="1"/>
  <c r="I414" i="1"/>
  <c r="I25" i="1" s="1"/>
  <c r="I409" i="1"/>
  <c r="I24" i="1" s="1"/>
  <c r="I408" i="1"/>
  <c r="H408" i="1"/>
  <c r="H405" i="1"/>
  <c r="H403" i="1"/>
  <c r="H402" i="1"/>
  <c r="H401" i="1"/>
  <c r="H398" i="1"/>
  <c r="H397" i="1"/>
  <c r="H396" i="1"/>
  <c r="I395" i="1"/>
  <c r="H394" i="1"/>
  <c r="H393" i="1"/>
  <c r="I390" i="1"/>
  <c r="H390" i="1"/>
  <c r="I389" i="1"/>
  <c r="H389" i="1"/>
  <c r="H387" i="1"/>
  <c r="I386" i="1"/>
  <c r="H386" i="1"/>
  <c r="H385" i="1"/>
  <c r="I384" i="1"/>
  <c r="I382" i="1"/>
  <c r="H380" i="1"/>
  <c r="I379" i="1"/>
  <c r="H369" i="1"/>
  <c r="H367" i="1"/>
  <c r="H359" i="1"/>
  <c r="H366" i="1"/>
  <c r="H362" i="1"/>
  <c r="H357" i="1"/>
  <c r="H365" i="1"/>
  <c r="H375" i="1"/>
  <c r="H364" i="1"/>
  <c r="H361" i="1"/>
  <c r="H358" i="1"/>
  <c r="H354" i="1"/>
  <c r="H353" i="1"/>
  <c r="I352" i="1"/>
  <c r="H352" i="1"/>
  <c r="I351" i="1"/>
  <c r="H342" i="1"/>
  <c r="H339" i="1"/>
  <c r="H338" i="1"/>
  <c r="H337" i="1"/>
  <c r="H336" i="1"/>
  <c r="H335" i="1"/>
  <c r="H332" i="1"/>
  <c r="H331" i="1"/>
  <c r="H330" i="1"/>
  <c r="H329" i="1"/>
  <c r="H327" i="1"/>
  <c r="H326" i="1"/>
  <c r="H325" i="1"/>
  <c r="I324" i="1"/>
  <c r="H320" i="1"/>
  <c r="H318" i="1"/>
  <c r="H317" i="1"/>
  <c r="I316" i="1"/>
  <c r="H315" i="1"/>
  <c r="I309" i="1"/>
  <c r="H309" i="1"/>
  <c r="I308" i="1"/>
  <c r="H308" i="1"/>
  <c r="I307" i="1"/>
  <c r="H306" i="1"/>
  <c r="I305" i="1"/>
  <c r="H305" i="1"/>
  <c r="H304" i="1"/>
  <c r="H301" i="1"/>
  <c r="I299" i="1"/>
  <c r="H299" i="1"/>
  <c r="I298" i="1"/>
  <c r="I297" i="1"/>
  <c r="I18" i="1" s="1"/>
  <c r="I296" i="1"/>
  <c r="H296" i="1"/>
  <c r="H295" i="1"/>
  <c r="I294" i="1"/>
  <c r="H294" i="1"/>
  <c r="H293" i="1"/>
  <c r="I292" i="1"/>
  <c r="H290" i="1"/>
  <c r="H289" i="1"/>
  <c r="I288" i="1"/>
  <c r="H287" i="1"/>
  <c r="H285" i="1"/>
  <c r="I283" i="1"/>
  <c r="H283" i="1"/>
  <c r="I282" i="1"/>
  <c r="H282" i="1"/>
  <c r="H278" i="1"/>
  <c r="I275" i="1"/>
  <c r="I16" i="1" s="1"/>
  <c r="H274" i="1"/>
  <c r="H273" i="1"/>
  <c r="H271" i="1"/>
  <c r="I15" i="1"/>
  <c r="H251" i="1"/>
  <c r="I250" i="1"/>
  <c r="I249" i="1"/>
  <c r="I8" i="1" s="1"/>
  <c r="F8" i="1"/>
  <c r="H244" i="1"/>
  <c r="H243" i="1"/>
  <c r="H235" i="1"/>
  <c r="H234" i="1"/>
  <c r="H233" i="1"/>
  <c r="I232" i="1"/>
  <c r="H231" i="1"/>
  <c r="H230" i="1"/>
  <c r="H229" i="1"/>
  <c r="H228" i="1"/>
  <c r="H226" i="1"/>
  <c r="I224" i="1"/>
  <c r="H224" i="1"/>
  <c r="H223" i="1"/>
  <c r="I221" i="1"/>
  <c r="H221" i="1"/>
  <c r="I220" i="1"/>
  <c r="H218" i="1"/>
  <c r="H217" i="1"/>
  <c r="H215" i="1"/>
  <c r="H213" i="1"/>
  <c r="H212" i="1"/>
  <c r="H210" i="1"/>
  <c r="H204" i="1"/>
  <c r="I203" i="1"/>
  <c r="H203" i="1"/>
  <c r="H202" i="1"/>
  <c r="H201" i="1"/>
  <c r="H199" i="1"/>
  <c r="I198" i="1"/>
  <c r="H197" i="1"/>
  <c r="H188" i="1"/>
  <c r="H187" i="1"/>
  <c r="H184" i="1"/>
  <c r="H179" i="1"/>
  <c r="I175" i="1"/>
  <c r="I174" i="1"/>
  <c r="I5" i="1" s="1"/>
  <c r="H168" i="1"/>
  <c r="H167" i="1"/>
  <c r="I166" i="1"/>
  <c r="I163" i="1"/>
  <c r="H161" i="1"/>
  <c r="H159" i="1"/>
  <c r="H158" i="1"/>
  <c r="H154" i="1"/>
  <c r="H153" i="1"/>
  <c r="I152" i="1"/>
  <c r="H152" i="1"/>
  <c r="I151" i="1"/>
  <c r="H151" i="1"/>
  <c r="I150" i="1"/>
  <c r="H150" i="1"/>
  <c r="I148" i="1"/>
  <c r="I146" i="1"/>
  <c r="I145" i="1"/>
  <c r="H145" i="1"/>
  <c r="H144" i="1"/>
  <c r="I143" i="1"/>
  <c r="H143" i="1"/>
  <c r="H140" i="1"/>
  <c r="H139" i="1"/>
  <c r="H138" i="1"/>
  <c r="I129" i="1"/>
  <c r="I127" i="1"/>
  <c r="H118" i="1"/>
  <c r="I116" i="1"/>
  <c r="H116" i="1"/>
  <c r="I115" i="1"/>
  <c r="H115" i="1"/>
  <c r="I114" i="1"/>
  <c r="I113" i="1"/>
  <c r="H113" i="1"/>
  <c r="I112" i="1"/>
  <c r="H112" i="1"/>
  <c r="I111" i="1"/>
  <c r="H111" i="1"/>
  <c r="I110" i="1"/>
  <c r="H110" i="1"/>
  <c r="I109" i="1"/>
  <c r="I108" i="1"/>
  <c r="H108" i="1"/>
  <c r="I107" i="1"/>
  <c r="I106" i="1"/>
  <c r="H106" i="1"/>
  <c r="I105" i="1"/>
  <c r="H105" i="1"/>
  <c r="I104" i="1"/>
  <c r="H104" i="1"/>
  <c r="I103" i="1"/>
  <c r="I102" i="1"/>
  <c r="H102" i="1"/>
  <c r="I101" i="1"/>
  <c r="I100" i="1"/>
  <c r="H100" i="1"/>
  <c r="I99" i="1"/>
  <c r="H99" i="1"/>
  <c r="I98" i="1"/>
  <c r="H98" i="1"/>
  <c r="I97" i="1"/>
  <c r="H97" i="1"/>
  <c r="H96" i="1"/>
  <c r="I95" i="1"/>
  <c r="H95" i="1"/>
  <c r="I91" i="1"/>
  <c r="H91" i="1"/>
  <c r="I90" i="1"/>
  <c r="H90" i="1"/>
  <c r="I89" i="1"/>
  <c r="I86" i="1"/>
  <c r="H86" i="1"/>
  <c r="I82" i="1"/>
  <c r="H82" i="1"/>
  <c r="I81" i="1"/>
  <c r="I80" i="1"/>
  <c r="I79" i="1"/>
  <c r="H79" i="1"/>
  <c r="I78" i="1"/>
  <c r="H78" i="1"/>
  <c r="I77" i="1"/>
  <c r="H77" i="1"/>
  <c r="I76" i="1"/>
  <c r="I75" i="1"/>
  <c r="I74" i="1"/>
  <c r="H74" i="1"/>
  <c r="I73" i="1"/>
  <c r="H73" i="1"/>
  <c r="I72" i="1"/>
  <c r="H72" i="1"/>
  <c r="I71" i="1"/>
  <c r="H71" i="1"/>
  <c r="I70" i="1"/>
  <c r="I69" i="1"/>
  <c r="H69" i="1"/>
  <c r="I68" i="1"/>
  <c r="I67" i="1"/>
  <c r="H67" i="1"/>
  <c r="I66" i="1"/>
  <c r="I65" i="1"/>
  <c r="H65" i="1"/>
  <c r="I64" i="1"/>
  <c r="H64" i="1"/>
  <c r="I63" i="1"/>
  <c r="H62" i="1"/>
  <c r="I61" i="1"/>
  <c r="H61" i="1"/>
  <c r="I60" i="1"/>
  <c r="I59" i="1"/>
  <c r="H59" i="1"/>
  <c r="I58" i="1"/>
  <c r="I57" i="1"/>
  <c r="H57" i="1"/>
  <c r="I56" i="1"/>
  <c r="I55" i="1"/>
  <c r="I54" i="1"/>
  <c r="I53" i="1"/>
  <c r="I3" i="1" s="1"/>
  <c r="E15" i="1"/>
  <c r="I12" i="1"/>
  <c r="H12" i="1"/>
  <c r="I11" i="1"/>
  <c r="J10" i="1"/>
  <c r="D41" i="1"/>
  <c r="D42" i="1"/>
  <c r="D43" i="1"/>
  <c r="D48" i="1"/>
  <c r="H55" i="1"/>
  <c r="H56" i="1"/>
  <c r="H58" i="1"/>
  <c r="H60" i="1"/>
  <c r="H66" i="1"/>
  <c r="D70" i="1"/>
  <c r="H70" i="1" s="1"/>
  <c r="H76" i="1"/>
  <c r="H89" i="1"/>
  <c r="D107" i="1"/>
  <c r="H109" i="1"/>
  <c r="H114" i="1"/>
  <c r="D128" i="1"/>
  <c r="H128" i="1" s="1"/>
  <c r="H146" i="1"/>
  <c r="D163" i="1"/>
  <c r="H163" i="1" s="1"/>
  <c r="D175" i="1"/>
  <c r="H175" i="1" s="1"/>
  <c r="D178" i="1"/>
  <c r="D176" i="1" s="1"/>
  <c r="H176" i="1" s="1"/>
  <c r="H185" i="1"/>
  <c r="H191" i="1"/>
  <c r="D194" i="1"/>
  <c r="H194" i="1" s="1"/>
  <c r="H196" i="1"/>
  <c r="H211" i="1"/>
  <c r="H220" i="1"/>
  <c r="D227" i="1"/>
  <c r="H227" i="1" s="1"/>
  <c r="H232" i="1"/>
  <c r="D242" i="1"/>
  <c r="H242" i="1" s="1"/>
  <c r="D253" i="1"/>
  <c r="H253" i="1" s="1"/>
  <c r="D263" i="1"/>
  <c r="H263" i="1" s="1"/>
  <c r="G15" i="1"/>
  <c r="D267" i="1"/>
  <c r="H267" i="1" s="1"/>
  <c r="H15" i="1" s="1"/>
  <c r="D272" i="1"/>
  <c r="H272" i="1" s="1"/>
  <c r="D277" i="1"/>
  <c r="D276" i="1" s="1"/>
  <c r="H276" i="1" s="1"/>
  <c r="D284" i="1"/>
  <c r="H284" i="1" s="1"/>
  <c r="D288" i="1"/>
  <c r="H288" i="1" s="1"/>
  <c r="D292" i="1"/>
  <c r="D291" i="1" s="1"/>
  <c r="D17" i="1" s="1"/>
  <c r="D298" i="1"/>
  <c r="H298" i="1" s="1"/>
  <c r="D300" i="1"/>
  <c r="H300" i="1" s="1"/>
  <c r="D303" i="1"/>
  <c r="H303" i="1" s="1"/>
  <c r="D307" i="1"/>
  <c r="H307" i="1" s="1"/>
  <c r="D312" i="1"/>
  <c r="D316" i="1"/>
  <c r="H316" i="1" s="1"/>
  <c r="D319" i="1"/>
  <c r="H319" i="1" s="1"/>
  <c r="D324" i="1"/>
  <c r="D328" i="1"/>
  <c r="H328" i="1" s="1"/>
  <c r="D343" i="1"/>
  <c r="H351" i="1"/>
  <c r="D379" i="1"/>
  <c r="H379" i="1" s="1"/>
  <c r="D382" i="1"/>
  <c r="H382" i="1" s="1"/>
  <c r="D384" i="1"/>
  <c r="H384" i="1" s="1"/>
  <c r="D392" i="1"/>
  <c r="D395" i="1"/>
  <c r="H395" i="1" s="1"/>
  <c r="D399" i="1"/>
  <c r="H399" i="1" s="1"/>
  <c r="D406" i="1"/>
  <c r="H406" i="1" s="1"/>
  <c r="D409" i="1"/>
  <c r="D414" i="1"/>
  <c r="D25" i="1" s="1"/>
  <c r="D419" i="1"/>
  <c r="G27" i="1"/>
  <c r="D428" i="1"/>
  <c r="D425" i="1" s="1"/>
  <c r="D434" i="1"/>
  <c r="D28" i="1" s="1"/>
  <c r="D29" i="1"/>
  <c r="D444" i="1"/>
  <c r="H444" i="1" s="1"/>
  <c r="D450" i="1"/>
  <c r="D446" i="1"/>
  <c r="D453" i="1"/>
  <c r="H453" i="1" s="1"/>
  <c r="D459" i="1"/>
  <c r="D457" i="1" s="1"/>
  <c r="D464" i="1"/>
  <c r="H464" i="1" s="1"/>
  <c r="D471" i="1"/>
  <c r="D468" i="1" s="1"/>
  <c r="H468" i="1" s="1"/>
  <c r="D473" i="1"/>
  <c r="H473" i="1" s="1"/>
  <c r="D465" i="1"/>
  <c r="H465" i="1" s="1"/>
  <c r="H481" i="1"/>
  <c r="D486" i="1"/>
  <c r="D483" i="1" s="1"/>
  <c r="H483" i="1" s="1"/>
  <c r="D495" i="1"/>
  <c r="H495" i="1" s="1"/>
  <c r="D499" i="1"/>
  <c r="D498" i="1" s="1"/>
  <c r="H498" i="1" s="1"/>
  <c r="D501" i="1"/>
  <c r="H501" i="1" s="1"/>
  <c r="D505" i="1"/>
  <c r="H505" i="1" s="1"/>
  <c r="H513" i="1"/>
  <c r="D515" i="1"/>
  <c r="H515" i="1" s="1"/>
  <c r="D518" i="1"/>
  <c r="D517" i="1" s="1"/>
  <c r="D530" i="1"/>
  <c r="D528" i="1" s="1"/>
  <c r="D34" i="1" s="1"/>
  <c r="D543" i="1"/>
  <c r="H543" i="1" s="1"/>
  <c r="D556" i="1"/>
  <c r="D552" i="1" s="1"/>
  <c r="D564" i="1"/>
  <c r="D567" i="1"/>
  <c r="D569" i="1"/>
  <c r="H569" i="1" s="1"/>
  <c r="D571" i="1"/>
  <c r="H571" i="1" s="1"/>
  <c r="D573" i="1"/>
  <c r="H573" i="1" s="1"/>
  <c r="D575" i="1"/>
  <c r="H575" i="1" s="1"/>
  <c r="D577" i="1"/>
  <c r="H577" i="1" s="1"/>
  <c r="D579" i="1"/>
  <c r="H579" i="1" s="1"/>
  <c r="D586" i="1"/>
  <c r="D597" i="1"/>
  <c r="D596" i="1" s="1"/>
  <c r="D613" i="1"/>
  <c r="D611" i="1" s="1"/>
  <c r="D618" i="1"/>
  <c r="D632" i="1"/>
  <c r="H632" i="1" s="1"/>
  <c r="D635" i="1"/>
  <c r="H635" i="1" s="1"/>
  <c r="D640" i="1"/>
  <c r="H640" i="1" s="1"/>
  <c r="D645" i="1"/>
  <c r="H645" i="1" s="1"/>
  <c r="D647" i="1"/>
  <c r="H647" i="1" s="1"/>
  <c r="D650" i="1"/>
  <c r="H650" i="1" s="1"/>
  <c r="D655" i="1"/>
  <c r="H655" i="1" s="1"/>
  <c r="D662" i="1"/>
  <c r="D667" i="1"/>
  <c r="D672" i="1"/>
  <c r="D670" i="1" s="1"/>
  <c r="H670" i="1" s="1"/>
  <c r="D679" i="1"/>
  <c r="D677" i="1" s="1"/>
  <c r="H677" i="1" s="1"/>
  <c r="D689" i="1"/>
  <c r="H689" i="1" s="1"/>
  <c r="D700" i="1"/>
  <c r="H700" i="1" s="1"/>
  <c r="D705" i="1"/>
  <c r="H705" i="1" s="1"/>
  <c r="D735" i="1"/>
  <c r="H735" i="1" s="1"/>
  <c r="D746" i="1"/>
  <c r="D759" i="1"/>
  <c r="D762" i="1"/>
  <c r="H762" i="1" s="1"/>
  <c r="D781" i="1"/>
  <c r="H781" i="1" s="1"/>
  <c r="D784" i="1"/>
  <c r="H784" i="1" s="1"/>
  <c r="D788" i="1"/>
  <c r="H788" i="1" s="1"/>
  <c r="D791" i="1"/>
  <c r="H791" i="1" s="1"/>
  <c r="D797" i="1"/>
  <c r="D795" i="1" s="1"/>
  <c r="C717" i="1" l="1"/>
  <c r="C688" i="1" s="1"/>
  <c r="C628" i="1" s="1"/>
  <c r="H662" i="1"/>
  <c r="G718" i="1"/>
  <c r="D602" i="1"/>
  <c r="H618" i="1"/>
  <c r="D549" i="1"/>
  <c r="D36" i="1" s="1"/>
  <c r="H564" i="1"/>
  <c r="D560" i="1"/>
  <c r="D38" i="1" s="1"/>
  <c r="H392" i="1"/>
  <c r="D391" i="1"/>
  <c r="H324" i="1"/>
  <c r="D323" i="1"/>
  <c r="H323" i="1" s="1"/>
  <c r="H20" i="1" s="1"/>
  <c r="C258" i="1"/>
  <c r="G258" i="1" s="1"/>
  <c r="C7" i="1"/>
  <c r="D741" i="1"/>
  <c r="H741" i="1" s="1"/>
  <c r="H746" i="1"/>
  <c r="D665" i="1"/>
  <c r="H665" i="1" s="1"/>
  <c r="H667" i="1"/>
  <c r="D334" i="1"/>
  <c r="H343" i="1"/>
  <c r="D768" i="1"/>
  <c r="H768" i="1" s="1"/>
  <c r="H47" i="1" s="1"/>
  <c r="H773" i="1"/>
  <c r="H727" i="1"/>
  <c r="D311" i="1"/>
  <c r="H311" i="1" s="1"/>
  <c r="H312" i="1"/>
  <c r="H795" i="1"/>
  <c r="H797" i="1"/>
  <c r="D40" i="1"/>
  <c r="H596" i="1"/>
  <c r="H40" i="1" s="1"/>
  <c r="D758" i="1"/>
  <c r="H758" i="1" s="1"/>
  <c r="H759" i="1"/>
  <c r="C441" i="1"/>
  <c r="G442" i="1"/>
  <c r="C31" i="1"/>
  <c r="H419" i="1"/>
  <c r="H26" i="1" s="1"/>
  <c r="D26" i="1"/>
  <c r="H107" i="1"/>
  <c r="D101" i="1"/>
  <c r="H54" i="1"/>
  <c r="D53" i="1"/>
  <c r="D3" i="1" s="1"/>
  <c r="H517" i="1"/>
  <c r="H33" i="1" s="1"/>
  <c r="D33" i="1"/>
  <c r="D510" i="1"/>
  <c r="G20" i="1"/>
  <c r="H499" i="1"/>
  <c r="D27" i="1"/>
  <c r="H425" i="1"/>
  <c r="H27" i="1" s="1"/>
  <c r="D538" i="1"/>
  <c r="D532" i="1" s="1"/>
  <c r="H428" i="1"/>
  <c r="H471" i="1"/>
  <c r="D249" i="1"/>
  <c r="H178" i="1"/>
  <c r="H277" i="1"/>
  <c r="G24" i="1"/>
  <c r="H556" i="1"/>
  <c r="H679" i="1"/>
  <c r="H457" i="1"/>
  <c r="H459" i="1"/>
  <c r="H446" i="1"/>
  <c r="H451" i="1"/>
  <c r="G29" i="1"/>
  <c r="D24" i="1"/>
  <c r="H409" i="1"/>
  <c r="H24" i="1" s="1"/>
  <c r="D585" i="1"/>
  <c r="H586" i="1"/>
  <c r="D489" i="1"/>
  <c r="H492" i="1"/>
  <c r="G33" i="1"/>
  <c r="D445" i="1"/>
  <c r="H291" i="1"/>
  <c r="H17" i="1" s="1"/>
  <c r="G25" i="1"/>
  <c r="H434" i="1"/>
  <c r="H28" i="1" s="1"/>
  <c r="H486" i="1"/>
  <c r="H527" i="1"/>
  <c r="H552" i="1"/>
  <c r="H611" i="1"/>
  <c r="D381" i="1"/>
  <c r="H414" i="1"/>
  <c r="H25" i="1" s="1"/>
  <c r="H450" i="1"/>
  <c r="H480" i="1"/>
  <c r="H530" i="1"/>
  <c r="H597" i="1"/>
  <c r="H622" i="1"/>
  <c r="H672" i="1"/>
  <c r="D466" i="1"/>
  <c r="H466" i="1" s="1"/>
  <c r="H292" i="1"/>
  <c r="H438" i="1"/>
  <c r="H29" i="1" s="1"/>
  <c r="H497" i="1"/>
  <c r="H518" i="1"/>
  <c r="H528" i="1"/>
  <c r="H34" i="1" s="1"/>
  <c r="H613" i="1"/>
  <c r="I419" i="1"/>
  <c r="I26" i="1" s="1"/>
  <c r="H421" i="1"/>
  <c r="D644" i="1"/>
  <c r="H644" i="1" s="1"/>
  <c r="D275" i="1"/>
  <c r="H275" i="1" s="1"/>
  <c r="H16" i="1" s="1"/>
  <c r="D190" i="1"/>
  <c r="D631" i="1"/>
  <c r="G32" i="1"/>
  <c r="D262" i="1"/>
  <c r="D529" i="1"/>
  <c r="H529" i="1" s="1"/>
  <c r="D174" i="1"/>
  <c r="D5" i="1" s="1"/>
  <c r="G4" i="1"/>
  <c r="D448" i="1"/>
  <c r="H448" i="1" s="1"/>
  <c r="D478" i="1"/>
  <c r="H478" i="1" s="1"/>
  <c r="D661" i="1" l="1"/>
  <c r="D654" i="1" s="1"/>
  <c r="H654" i="1" s="1"/>
  <c r="G717" i="1"/>
  <c r="H725" i="1"/>
  <c r="D88" i="1"/>
  <c r="D4" i="1" s="1"/>
  <c r="H549" i="1"/>
  <c r="H36" i="1" s="1"/>
  <c r="H538" i="1"/>
  <c r="C9" i="1"/>
  <c r="D47" i="1"/>
  <c r="D297" i="1"/>
  <c r="D18" i="1" s="1"/>
  <c r="D779" i="1"/>
  <c r="H779" i="1" s="1"/>
  <c r="H49" i="1" s="1"/>
  <c r="D20" i="1"/>
  <c r="D16" i="1"/>
  <c r="D22" i="1"/>
  <c r="H381" i="1"/>
  <c r="H22" i="1" s="1"/>
  <c r="D23" i="1"/>
  <c r="H391" i="1"/>
  <c r="H23" i="1" s="1"/>
  <c r="H53" i="1"/>
  <c r="H3" i="1" s="1"/>
  <c r="D15" i="1"/>
  <c r="G262" i="1"/>
  <c r="H262" i="1"/>
  <c r="G441" i="1"/>
  <c r="C30" i="1"/>
  <c r="H190" i="1"/>
  <c r="H6" i="1" s="1"/>
  <c r="D6" i="1"/>
  <c r="H249" i="1"/>
  <c r="H8" i="1" s="1"/>
  <c r="D8" i="1"/>
  <c r="D508" i="1"/>
  <c r="H510" i="1"/>
  <c r="D462" i="1"/>
  <c r="H462" i="1" s="1"/>
  <c r="G17" i="1"/>
  <c r="D35" i="1"/>
  <c r="H532" i="1"/>
  <c r="H35" i="1" s="1"/>
  <c r="H174" i="1"/>
  <c r="H5" i="1" s="1"/>
  <c r="G18" i="1"/>
  <c r="D630" i="1"/>
  <c r="H631" i="1"/>
  <c r="G44" i="1"/>
  <c r="G21" i="1"/>
  <c r="D559" i="1"/>
  <c r="H560" i="1"/>
  <c r="H38" i="1" s="1"/>
  <c r="D39" i="1"/>
  <c r="H585" i="1"/>
  <c r="H39" i="1" s="1"/>
  <c r="G36" i="1"/>
  <c r="G16" i="1"/>
  <c r="G31" i="1"/>
  <c r="G3" i="1"/>
  <c r="G22" i="1"/>
  <c r="D443" i="1"/>
  <c r="H443" i="1" s="1"/>
  <c r="H445" i="1"/>
  <c r="G35" i="1"/>
  <c r="G37" i="1"/>
  <c r="H101" i="1"/>
  <c r="G38" i="1"/>
  <c r="D44" i="1"/>
  <c r="H602" i="1"/>
  <c r="H44" i="1" s="1"/>
  <c r="D488" i="1"/>
  <c r="H488" i="1" s="1"/>
  <c r="H489" i="1"/>
  <c r="D333" i="1"/>
  <c r="H333" i="1" s="1"/>
  <c r="H21" i="1" s="1"/>
  <c r="H334" i="1"/>
  <c r="G688" i="1" l="1"/>
  <c r="H720" i="1"/>
  <c r="H88" i="1"/>
  <c r="H4" i="1" s="1"/>
  <c r="H630" i="1"/>
  <c r="D49" i="1"/>
  <c r="H661" i="1"/>
  <c r="D261" i="1"/>
  <c r="H261" i="1" s="1"/>
  <c r="H14" i="1" s="1"/>
  <c r="H297" i="1"/>
  <c r="H18" i="1" s="1"/>
  <c r="D322" i="1"/>
  <c r="D21" i="1"/>
  <c r="H508" i="1"/>
  <c r="D494" i="1"/>
  <c r="D442" i="1"/>
  <c r="D31" i="1" s="1"/>
  <c r="G19" i="1"/>
  <c r="D37" i="1"/>
  <c r="H559" i="1"/>
  <c r="H37" i="1" s="1"/>
  <c r="G30" i="1"/>
  <c r="D247" i="1"/>
  <c r="G8" i="1"/>
  <c r="G628" i="1" l="1"/>
  <c r="G46" i="1" s="1"/>
  <c r="C46" i="1"/>
  <c r="C800" i="1"/>
  <c r="C804" i="1" s="1"/>
  <c r="H718" i="1"/>
  <c r="D717" i="1"/>
  <c r="D14" i="1"/>
  <c r="D7" i="1"/>
  <c r="H247" i="1"/>
  <c r="H7" i="1" s="1"/>
  <c r="H494" i="1"/>
  <c r="H32" i="1" s="1"/>
  <c r="D32" i="1"/>
  <c r="H322" i="1"/>
  <c r="H19" i="1" s="1"/>
  <c r="D19" i="1"/>
  <c r="G9" i="1"/>
  <c r="D258" i="1"/>
  <c r="H442" i="1"/>
  <c r="H31" i="1" s="1"/>
  <c r="D441" i="1"/>
  <c r="D30" i="1" s="1"/>
  <c r="G800" i="1" l="1"/>
  <c r="C50" i="1"/>
  <c r="C11" i="1" s="1"/>
  <c r="H717" i="1"/>
  <c r="D688" i="1"/>
  <c r="H258" i="1"/>
  <c r="H9" i="1" s="1"/>
  <c r="D9" i="1"/>
  <c r="H441" i="1"/>
  <c r="H30" i="1" s="1"/>
  <c r="H688" i="1" l="1"/>
  <c r="D628" i="1"/>
  <c r="G50" i="1"/>
  <c r="H628" i="1" l="1"/>
  <c r="H46" i="1" s="1"/>
  <c r="D46" i="1"/>
  <c r="D800" i="1"/>
  <c r="H800" i="1" l="1"/>
  <c r="H50" i="1" s="1"/>
  <c r="D804" i="1"/>
  <c r="D50" i="1"/>
  <c r="D11" i="1" s="1"/>
  <c r="H11" i="1" s="1"/>
</calcChain>
</file>

<file path=xl/comments1.xml><?xml version="1.0" encoding="utf-8"?>
<comments xmlns="http://schemas.openxmlformats.org/spreadsheetml/2006/main">
  <authors>
    <author>Ing. Jana Holíková</author>
    <author>Jana Holíková</author>
    <author>Jana</author>
  </authors>
  <commentList>
    <comment ref="J11" authorId="0" shapeId="0">
      <text>
        <r>
          <rPr>
            <b/>
            <sz val="9"/>
            <color indexed="81"/>
            <rFont val="Tahoma"/>
            <family val="2"/>
            <charset val="238"/>
          </rPr>
          <t>Ing. Jana Holíková:</t>
        </r>
        <r>
          <rPr>
            <sz val="9"/>
            <color indexed="81"/>
            <rFont val="Tahoma"/>
            <family val="2"/>
            <charset val="238"/>
          </rPr>
          <t xml:space="preserve">
040 ř.4430-4220 + SF ř.4281
nebo celk výdaje - tř6
nebo
min Závěrečný propočet dle výkazu</t>
        </r>
      </text>
    </comment>
    <comment ref="J12" authorId="0" shapeId="0">
      <text>
        <r>
          <rPr>
            <b/>
            <sz val="9"/>
            <color indexed="81"/>
            <rFont val="Tahoma"/>
            <family val="2"/>
            <charset val="238"/>
          </rPr>
          <t>Ing. Jana Holíková:</t>
        </r>
        <r>
          <rPr>
            <sz val="9"/>
            <color indexed="81"/>
            <rFont val="Tahoma"/>
            <family val="2"/>
            <charset val="238"/>
          </rPr>
          <t xml:space="preserve">
040 ř.4220
nebo
min Závěrečný propočet
dle výkazu</t>
        </r>
      </text>
    </comment>
    <comment ref="D54" authorId="1" shapeId="0">
      <text>
        <r>
          <rPr>
            <b/>
            <sz val="9"/>
            <color indexed="81"/>
            <rFont val="Tahoma"/>
            <family val="2"/>
            <charset val="238"/>
          </rPr>
          <t>Jana Holíková:</t>
        </r>
        <r>
          <rPr>
            <sz val="9"/>
            <color indexed="81"/>
            <rFont val="Tahoma"/>
            <family val="2"/>
            <charset val="238"/>
          </rPr>
          <t xml:space="preserve">
2103 ro17 -29.857.260</t>
        </r>
      </text>
    </comment>
    <comment ref="D55" authorId="1" shapeId="0">
      <text>
        <r>
          <rPr>
            <b/>
            <sz val="9"/>
            <color indexed="81"/>
            <rFont val="Tahoma"/>
            <family val="2"/>
            <charset val="238"/>
          </rPr>
          <t>Jana Holíková:</t>
        </r>
        <r>
          <rPr>
            <sz val="9"/>
            <color indexed="81"/>
            <rFont val="Tahoma"/>
            <family val="2"/>
            <charset val="238"/>
          </rPr>
          <t xml:space="preserve">
2103 ro17 -3.427.100</t>
        </r>
      </text>
    </comment>
    <comment ref="D56" authorId="1" shapeId="0">
      <text>
        <r>
          <rPr>
            <b/>
            <sz val="9"/>
            <color indexed="81"/>
            <rFont val="Tahoma"/>
            <family val="2"/>
            <charset val="238"/>
          </rPr>
          <t>Jana Holíková:</t>
        </r>
        <r>
          <rPr>
            <sz val="9"/>
            <color indexed="81"/>
            <rFont val="Tahoma"/>
            <family val="2"/>
            <charset val="238"/>
          </rPr>
          <t xml:space="preserve">
2103 ro17 +406.600</t>
        </r>
      </text>
    </comment>
    <comment ref="D57" authorId="1" shapeId="0">
      <text>
        <r>
          <rPr>
            <b/>
            <sz val="9"/>
            <color indexed="81"/>
            <rFont val="Tahoma"/>
            <family val="2"/>
            <charset val="238"/>
          </rPr>
          <t>Jana Holíková:</t>
        </r>
        <r>
          <rPr>
            <sz val="9"/>
            <color indexed="81"/>
            <rFont val="Tahoma"/>
            <family val="2"/>
            <charset val="238"/>
          </rPr>
          <t xml:space="preserve">
2103 ro17 -18.680</t>
        </r>
      </text>
    </comment>
    <comment ref="D58" authorId="1" shapeId="0">
      <text>
        <r>
          <rPr>
            <b/>
            <sz val="9"/>
            <color indexed="81"/>
            <rFont val="Tahoma"/>
            <family val="2"/>
            <charset val="238"/>
          </rPr>
          <t>Jana Holíková:</t>
        </r>
        <r>
          <rPr>
            <sz val="9"/>
            <color indexed="81"/>
            <rFont val="Tahoma"/>
            <family val="2"/>
            <charset val="238"/>
          </rPr>
          <t xml:space="preserve">
2103 ro17 +4.322.760</t>
        </r>
      </text>
    </comment>
    <comment ref="D59" authorId="2" shapeId="0">
      <text>
        <r>
          <rPr>
            <b/>
            <sz val="9"/>
            <color indexed="81"/>
            <rFont val="Tahoma"/>
            <family val="2"/>
            <charset val="238"/>
          </rPr>
          <t>Jana:</t>
        </r>
        <r>
          <rPr>
            <sz val="9"/>
            <color indexed="81"/>
            <rFont val="Tahoma"/>
            <family val="2"/>
            <charset val="238"/>
          </rPr>
          <t xml:space="preserve">
2105 ro47 -1.962.450</t>
        </r>
      </text>
    </comment>
    <comment ref="D60" authorId="1" shapeId="0">
      <text>
        <r>
          <rPr>
            <b/>
            <sz val="9"/>
            <color indexed="81"/>
            <rFont val="Tahoma"/>
            <family val="2"/>
            <charset val="238"/>
          </rPr>
          <t>Jana Holíková:</t>
        </r>
        <r>
          <rPr>
            <sz val="9"/>
            <color indexed="81"/>
            <rFont val="Tahoma"/>
            <family val="2"/>
            <charset val="238"/>
          </rPr>
          <t xml:space="preserve">
2103 ro17 +22.643.960</t>
        </r>
      </text>
    </comment>
    <comment ref="D62" authorId="2" shapeId="0">
      <text>
        <r>
          <rPr>
            <b/>
            <sz val="9"/>
            <color indexed="81"/>
            <rFont val="Tahoma"/>
            <family val="2"/>
            <charset val="238"/>
          </rPr>
          <t>Jana:</t>
        </r>
        <r>
          <rPr>
            <sz val="9"/>
            <color indexed="81"/>
            <rFont val="Tahoma"/>
            <family val="2"/>
            <charset val="238"/>
          </rPr>
          <t xml:space="preserve">
2106 ro51 +15.000</t>
        </r>
      </text>
    </comment>
    <comment ref="D92" authorId="1" shapeId="0">
      <text>
        <r>
          <rPr>
            <b/>
            <sz val="9"/>
            <color indexed="81"/>
            <rFont val="Tahoma"/>
            <family val="2"/>
            <charset val="238"/>
          </rPr>
          <t>Jana Holíková:</t>
        </r>
        <r>
          <rPr>
            <sz val="9"/>
            <color indexed="81"/>
            <rFont val="Tahoma"/>
            <family val="2"/>
            <charset val="238"/>
          </rPr>
          <t xml:space="preserve">
2103 ro11 -1.000.000</t>
        </r>
      </text>
    </comment>
    <comment ref="D93" authorId="1" shapeId="0">
      <text>
        <r>
          <rPr>
            <b/>
            <sz val="9"/>
            <color indexed="81"/>
            <rFont val="Tahoma"/>
            <family val="2"/>
            <charset val="238"/>
          </rPr>
          <t>Jana Holíková:</t>
        </r>
        <r>
          <rPr>
            <sz val="9"/>
            <color indexed="81"/>
            <rFont val="Tahoma"/>
            <family val="2"/>
            <charset val="238"/>
          </rPr>
          <t xml:space="preserve">
2103 ro11 -300.000</t>
        </r>
      </text>
    </comment>
    <comment ref="D99" authorId="1" shapeId="0">
      <text>
        <r>
          <rPr>
            <b/>
            <sz val="9"/>
            <color indexed="81"/>
            <rFont val="Tahoma"/>
            <family val="2"/>
            <charset val="238"/>
          </rPr>
          <t>Jana Holíková:</t>
        </r>
        <r>
          <rPr>
            <sz val="9"/>
            <color indexed="81"/>
            <rFont val="Tahoma"/>
            <family val="2"/>
            <charset val="238"/>
          </rPr>
          <t xml:space="preserve">
2102 ro7 
+25.236 (0504)
+27.775 (0309)
+35.940 (0307)
2104 ro29 +1.380
2106 ro50 +1.155.128,50</t>
        </r>
      </text>
    </comment>
    <comment ref="D105" authorId="1" shapeId="0">
      <text>
        <r>
          <rPr>
            <b/>
            <sz val="9"/>
            <color indexed="81"/>
            <rFont val="Tahoma"/>
            <family val="2"/>
            <charset val="238"/>
          </rPr>
          <t>Jana Holíková:</t>
        </r>
        <r>
          <rPr>
            <sz val="9"/>
            <color indexed="81"/>
            <rFont val="Tahoma"/>
            <family val="2"/>
            <charset val="238"/>
          </rPr>
          <t xml:space="preserve">
2103 ro11 -960</t>
        </r>
      </text>
    </comment>
    <comment ref="D106" authorId="1" shapeId="0">
      <text>
        <r>
          <rPr>
            <b/>
            <sz val="9"/>
            <color indexed="81"/>
            <rFont val="Tahoma"/>
            <family val="2"/>
            <charset val="238"/>
          </rPr>
          <t>Jana Holíková:</t>
        </r>
        <r>
          <rPr>
            <sz val="9"/>
            <color indexed="81"/>
            <rFont val="Tahoma"/>
            <family val="2"/>
            <charset val="238"/>
          </rPr>
          <t xml:space="preserve">
2103 ro11 -220.825</t>
        </r>
      </text>
    </comment>
    <comment ref="D109" authorId="1" shapeId="0">
      <text>
        <r>
          <rPr>
            <b/>
            <sz val="9"/>
            <color indexed="81"/>
            <rFont val="Tahoma"/>
            <family val="2"/>
            <charset val="238"/>
          </rPr>
          <t>Jana Holíková:</t>
        </r>
        <r>
          <rPr>
            <sz val="9"/>
            <color indexed="81"/>
            <rFont val="Tahoma"/>
            <family val="2"/>
            <charset val="238"/>
          </rPr>
          <t xml:space="preserve">
2103 ro11 -1.355.324 </t>
        </r>
      </text>
    </comment>
    <comment ref="D117" authorId="2" shapeId="0">
      <text>
        <r>
          <rPr>
            <b/>
            <sz val="9"/>
            <color indexed="81"/>
            <rFont val="Tahoma"/>
            <family val="2"/>
            <charset val="238"/>
          </rPr>
          <t>Jana:</t>
        </r>
        <r>
          <rPr>
            <sz val="9"/>
            <color indexed="81"/>
            <rFont val="Tahoma"/>
            <family val="2"/>
            <charset val="238"/>
          </rPr>
          <t xml:space="preserve">
2106 ro51 +10.000</t>
        </r>
      </text>
    </comment>
    <comment ref="D120" authorId="2" shapeId="0">
      <text>
        <r>
          <rPr>
            <b/>
            <sz val="9"/>
            <color indexed="81"/>
            <rFont val="Tahoma"/>
            <family val="2"/>
            <charset val="238"/>
          </rPr>
          <t>Jana:</t>
        </r>
        <r>
          <rPr>
            <sz val="9"/>
            <color indexed="81"/>
            <rFont val="Tahoma"/>
            <family val="2"/>
            <charset val="238"/>
          </rPr>
          <t xml:space="preserve">
2106 ro51 +143.744,55</t>
        </r>
      </text>
    </comment>
    <comment ref="D121" authorId="2" shapeId="0">
      <text>
        <r>
          <rPr>
            <b/>
            <sz val="9"/>
            <color indexed="81"/>
            <rFont val="Tahoma"/>
            <family val="2"/>
            <charset val="238"/>
          </rPr>
          <t>Jana:</t>
        </r>
        <r>
          <rPr>
            <sz val="9"/>
            <color indexed="81"/>
            <rFont val="Tahoma"/>
            <family val="2"/>
            <charset val="238"/>
          </rPr>
          <t xml:space="preserve">
2106 ro51 +16.940</t>
        </r>
      </text>
    </comment>
    <comment ref="D127" authorId="2" shapeId="0">
      <text>
        <r>
          <rPr>
            <b/>
            <sz val="9"/>
            <color indexed="81"/>
            <rFont val="Tahoma"/>
            <family val="2"/>
            <charset val="238"/>
          </rPr>
          <t>Jana:</t>
        </r>
        <r>
          <rPr>
            <sz val="9"/>
            <color indexed="81"/>
            <rFont val="Tahoma"/>
            <family val="2"/>
            <charset val="238"/>
          </rPr>
          <t xml:space="preserve">
2104 ro32 +84.689,93
</t>
        </r>
      </text>
    </comment>
    <comment ref="D129" authorId="1" shapeId="0">
      <text>
        <r>
          <rPr>
            <b/>
            <sz val="9"/>
            <color indexed="81"/>
            <rFont val="Tahoma"/>
            <family val="2"/>
            <charset val="238"/>
          </rPr>
          <t>Jana Holíková:</t>
        </r>
        <r>
          <rPr>
            <sz val="9"/>
            <color indexed="81"/>
            <rFont val="Tahoma"/>
            <family val="2"/>
            <charset val="238"/>
          </rPr>
          <t xml:space="preserve">
2102 ro5
+ 65.834,23 (0305)
+140.191,92 (0307)</t>
        </r>
      </text>
    </comment>
    <comment ref="D130" authorId="2" shapeId="0">
      <text>
        <r>
          <rPr>
            <b/>
            <sz val="9"/>
            <color indexed="81"/>
            <rFont val="Tahoma"/>
            <family val="2"/>
            <charset val="238"/>
          </rPr>
          <t>Jana:</t>
        </r>
        <r>
          <rPr>
            <sz val="9"/>
            <color indexed="81"/>
            <rFont val="Tahoma"/>
            <family val="2"/>
            <charset val="238"/>
          </rPr>
          <t xml:space="preserve">
2106 ro51 +26.490</t>
        </r>
      </text>
    </comment>
    <comment ref="D131" authorId="1" shapeId="0">
      <text>
        <r>
          <rPr>
            <b/>
            <sz val="9"/>
            <color indexed="81"/>
            <rFont val="Tahoma"/>
            <family val="2"/>
            <charset val="238"/>
          </rPr>
          <t>Jana Holíková:</t>
        </r>
        <r>
          <rPr>
            <sz val="9"/>
            <color indexed="81"/>
            <rFont val="Tahoma"/>
            <family val="2"/>
            <charset val="238"/>
          </rPr>
          <t xml:space="preserve">
2102 ro5
+308.971,67 (0321)
+25.523,77 (0322)
+77.151,21 (0323)
+30.113,25 (0325)</t>
        </r>
      </text>
    </comment>
    <comment ref="D132" authorId="2" shapeId="0">
      <text>
        <r>
          <rPr>
            <b/>
            <sz val="9"/>
            <color indexed="81"/>
            <rFont val="Tahoma"/>
            <family val="2"/>
            <charset val="238"/>
          </rPr>
          <t>Jana:</t>
        </r>
        <r>
          <rPr>
            <sz val="9"/>
            <color indexed="81"/>
            <rFont val="Tahoma"/>
            <family val="2"/>
            <charset val="238"/>
          </rPr>
          <t xml:space="preserve">
2106 ro58 +16.912</t>
        </r>
      </text>
    </comment>
    <comment ref="D133" authorId="2" shapeId="0">
      <text>
        <r>
          <rPr>
            <b/>
            <sz val="9"/>
            <color indexed="81"/>
            <rFont val="Tahoma"/>
            <family val="2"/>
            <charset val="238"/>
          </rPr>
          <t>Jana:</t>
        </r>
        <r>
          <rPr>
            <sz val="9"/>
            <color indexed="81"/>
            <rFont val="Tahoma"/>
            <family val="2"/>
            <charset val="238"/>
          </rPr>
          <t xml:space="preserve">
2106 ro51 +122.549
</t>
        </r>
      </text>
    </comment>
    <comment ref="D134" authorId="1" shapeId="0">
      <text>
        <r>
          <rPr>
            <b/>
            <sz val="9"/>
            <color indexed="81"/>
            <rFont val="Tahoma"/>
            <family val="2"/>
            <charset val="238"/>
          </rPr>
          <t>Jana Holíková:</t>
        </r>
        <r>
          <rPr>
            <sz val="9"/>
            <color indexed="81"/>
            <rFont val="Tahoma"/>
            <family val="2"/>
            <charset val="238"/>
          </rPr>
          <t xml:space="preserve">
2102 ro5
+58.335,59</t>
        </r>
      </text>
    </comment>
    <comment ref="D135" authorId="1" shapeId="0">
      <text>
        <r>
          <rPr>
            <b/>
            <sz val="9"/>
            <color indexed="81"/>
            <rFont val="Tahoma"/>
            <family val="2"/>
            <charset val="238"/>
          </rPr>
          <t>Jana Holíková:</t>
        </r>
        <r>
          <rPr>
            <sz val="9"/>
            <color indexed="81"/>
            <rFont val="Tahoma"/>
            <family val="2"/>
            <charset val="238"/>
          </rPr>
          <t xml:space="preserve">
2102 ro5
+92.743,77
</t>
        </r>
      </text>
    </comment>
    <comment ref="D137" authorId="1" shapeId="0">
      <text>
        <r>
          <rPr>
            <b/>
            <sz val="9"/>
            <color indexed="81"/>
            <rFont val="Tahoma"/>
            <family val="2"/>
            <charset val="238"/>
          </rPr>
          <t>Jana Holíková:</t>
        </r>
        <r>
          <rPr>
            <sz val="9"/>
            <color indexed="81"/>
            <rFont val="Tahoma"/>
            <family val="2"/>
            <charset val="238"/>
          </rPr>
          <t xml:space="preserve">
2102 ro5
+250.414</t>
        </r>
      </text>
    </comment>
    <comment ref="D138" authorId="1" shapeId="0">
      <text>
        <r>
          <rPr>
            <b/>
            <sz val="9"/>
            <color indexed="81"/>
            <rFont val="Tahoma"/>
            <family val="2"/>
            <charset val="238"/>
          </rPr>
          <t>Jana Holíková:</t>
        </r>
        <r>
          <rPr>
            <sz val="9"/>
            <color indexed="81"/>
            <rFont val="Tahoma"/>
            <family val="2"/>
            <charset val="238"/>
          </rPr>
          <t xml:space="preserve">
2102 ro9 +2.888.353,24</t>
        </r>
      </text>
    </comment>
    <comment ref="D139" authorId="2" shapeId="0">
      <text>
        <r>
          <rPr>
            <b/>
            <sz val="9"/>
            <color indexed="81"/>
            <rFont val="Tahoma"/>
            <family val="2"/>
            <charset val="238"/>
          </rPr>
          <t>Jana:</t>
        </r>
        <r>
          <rPr>
            <sz val="9"/>
            <color indexed="81"/>
            <rFont val="Tahoma"/>
            <family val="2"/>
            <charset val="238"/>
          </rPr>
          <t xml:space="preserve">
2106 ro51
+503.779,56  1131
+214.977       1132
+  2.616,80        1134
+37.565        1141
+58.168        1180</t>
        </r>
      </text>
    </comment>
    <comment ref="D140" authorId="2" shapeId="0">
      <text>
        <r>
          <rPr>
            <b/>
            <sz val="9"/>
            <color indexed="81"/>
            <rFont val="Tahoma"/>
            <family val="2"/>
            <charset val="238"/>
          </rPr>
          <t>Jana:</t>
        </r>
        <r>
          <rPr>
            <sz val="9"/>
            <color indexed="81"/>
            <rFont val="Tahoma"/>
            <family val="2"/>
            <charset val="238"/>
          </rPr>
          <t xml:space="preserve">
2106 ro51 +6.060</t>
        </r>
      </text>
    </comment>
    <comment ref="D143" authorId="1" shapeId="0">
      <text>
        <r>
          <rPr>
            <b/>
            <sz val="9"/>
            <color indexed="81"/>
            <rFont val="Tahoma"/>
            <family val="2"/>
            <charset val="238"/>
          </rPr>
          <t>Jana Holíková:</t>
        </r>
        <r>
          <rPr>
            <sz val="9"/>
            <color indexed="81"/>
            <rFont val="Tahoma"/>
            <family val="2"/>
            <charset val="238"/>
          </rPr>
          <t xml:space="preserve">
2103 ro11 +49.000
prodej zbraní
2106 ro51 +9.075</t>
        </r>
      </text>
    </comment>
    <comment ref="D144" authorId="1" shapeId="0">
      <text>
        <r>
          <rPr>
            <b/>
            <sz val="9"/>
            <color indexed="81"/>
            <rFont val="Tahoma"/>
            <family val="2"/>
            <charset val="238"/>
          </rPr>
          <t>Jana Holíková:</t>
        </r>
        <r>
          <rPr>
            <sz val="9"/>
            <color indexed="81"/>
            <rFont val="Tahoma"/>
            <family val="2"/>
            <charset val="238"/>
          </rPr>
          <t xml:space="preserve">
2103 ro27 -100.000
2103 ro28 -50.000
2104 ro28opr +150.000</t>
        </r>
      </text>
    </comment>
    <comment ref="D145" authorId="1" shapeId="0">
      <text>
        <r>
          <rPr>
            <b/>
            <sz val="9"/>
            <color indexed="81"/>
            <rFont val="Tahoma"/>
            <family val="2"/>
            <charset val="238"/>
          </rPr>
          <t>Jana Holíková:</t>
        </r>
        <r>
          <rPr>
            <sz val="9"/>
            <color indexed="81"/>
            <rFont val="Tahoma"/>
            <family val="2"/>
            <charset val="238"/>
          </rPr>
          <t xml:space="preserve">
2102 ro6 +8.732
2105 ro39 +15.883
2106 ro51 +35.845 +6.600+20.000</t>
        </r>
      </text>
    </comment>
    <comment ref="D147" authorId="2" shapeId="0">
      <text>
        <r>
          <rPr>
            <b/>
            <sz val="9"/>
            <color indexed="81"/>
            <rFont val="Tahoma"/>
            <family val="2"/>
            <charset val="238"/>
          </rPr>
          <t>Jana:</t>
        </r>
        <r>
          <rPr>
            <sz val="9"/>
            <color indexed="81"/>
            <rFont val="Tahoma"/>
            <family val="2"/>
            <charset val="238"/>
          </rPr>
          <t xml:space="preserve">
2104 ro33 + 1.267</t>
        </r>
      </text>
    </comment>
    <comment ref="D151" authorId="2" shapeId="0">
      <text>
        <r>
          <rPr>
            <b/>
            <sz val="9"/>
            <color indexed="81"/>
            <rFont val="Tahoma"/>
            <family val="2"/>
            <charset val="238"/>
          </rPr>
          <t>Jana:</t>
        </r>
        <r>
          <rPr>
            <sz val="9"/>
            <color indexed="81"/>
            <rFont val="Tahoma"/>
            <family val="2"/>
            <charset val="238"/>
          </rPr>
          <t xml:space="preserve">
2106 ro51 +80.840</t>
        </r>
      </text>
    </comment>
    <comment ref="D186" authorId="1" shapeId="0">
      <text>
        <r>
          <rPr>
            <b/>
            <sz val="9"/>
            <color indexed="81"/>
            <rFont val="Tahoma"/>
            <family val="2"/>
            <charset val="238"/>
          </rPr>
          <t>Jana Holíková:</t>
        </r>
        <r>
          <rPr>
            <sz val="9"/>
            <color indexed="81"/>
            <rFont val="Tahoma"/>
            <family val="2"/>
            <charset val="238"/>
          </rPr>
          <t xml:space="preserve">
2102 ro10 -1.053.570</t>
        </r>
      </text>
    </comment>
    <comment ref="D187" authorId="1" shapeId="0">
      <text>
        <r>
          <rPr>
            <b/>
            <sz val="9"/>
            <color indexed="81"/>
            <rFont val="Tahoma"/>
            <family val="2"/>
            <charset val="238"/>
          </rPr>
          <t>Jana Holíková:</t>
        </r>
        <r>
          <rPr>
            <sz val="9"/>
            <color indexed="81"/>
            <rFont val="Tahoma"/>
            <family val="2"/>
            <charset val="238"/>
          </rPr>
          <t xml:space="preserve">
203 ro11 +1.000.000</t>
        </r>
      </text>
    </comment>
    <comment ref="D192" authorId="2" shapeId="0">
      <text>
        <r>
          <rPr>
            <b/>
            <sz val="9"/>
            <color indexed="81"/>
            <rFont val="Tahoma"/>
            <family val="2"/>
            <charset val="238"/>
          </rPr>
          <t>Jana:</t>
        </r>
        <r>
          <rPr>
            <sz val="9"/>
            <color indexed="81"/>
            <rFont val="Tahoma"/>
            <family val="2"/>
            <charset val="238"/>
          </rPr>
          <t xml:space="preserve">
2106 ro51 +3.000</t>
        </r>
      </text>
    </comment>
    <comment ref="D193" authorId="2" shapeId="0">
      <text>
        <r>
          <rPr>
            <b/>
            <sz val="9"/>
            <color indexed="81"/>
            <rFont val="Tahoma"/>
            <family val="2"/>
            <charset val="238"/>
          </rPr>
          <t>Jana:</t>
        </r>
        <r>
          <rPr>
            <sz val="9"/>
            <color indexed="81"/>
            <rFont val="Tahoma"/>
            <family val="2"/>
            <charset val="238"/>
          </rPr>
          <t xml:space="preserve">
2105 ro42 +1.026.933,11</t>
        </r>
      </text>
    </comment>
    <comment ref="D199" authorId="2" shapeId="0">
      <text>
        <r>
          <rPr>
            <b/>
            <sz val="9"/>
            <color indexed="81"/>
            <rFont val="Tahoma"/>
            <family val="2"/>
            <charset val="238"/>
          </rPr>
          <t>Jana:</t>
        </r>
        <r>
          <rPr>
            <sz val="9"/>
            <color indexed="81"/>
            <rFont val="Tahoma"/>
            <family val="2"/>
            <charset val="238"/>
          </rPr>
          <t xml:space="preserve">
2105 ro44 +-3.572.950</t>
        </r>
      </text>
    </comment>
    <comment ref="D200" authorId="2" shapeId="0">
      <text>
        <r>
          <rPr>
            <b/>
            <sz val="9"/>
            <color indexed="81"/>
            <rFont val="Tahoma"/>
            <family val="2"/>
            <charset val="238"/>
          </rPr>
          <t>Jana:</t>
        </r>
        <r>
          <rPr>
            <sz val="9"/>
            <color indexed="81"/>
            <rFont val="Tahoma"/>
            <family val="2"/>
            <charset val="238"/>
          </rPr>
          <t xml:space="preserve">
2105 ro43 -1.137.306
+1.211.186</t>
        </r>
      </text>
    </comment>
    <comment ref="D201" authorId="2" shapeId="0">
      <text>
        <r>
          <rPr>
            <b/>
            <sz val="9"/>
            <color indexed="81"/>
            <rFont val="Tahoma"/>
            <family val="2"/>
            <charset val="238"/>
          </rPr>
          <t>Jana:</t>
        </r>
        <r>
          <rPr>
            <sz val="9"/>
            <color indexed="81"/>
            <rFont val="Tahoma"/>
            <family val="2"/>
            <charset val="238"/>
          </rPr>
          <t xml:space="preserve">
2106 ro53 +91.988</t>
        </r>
      </text>
    </comment>
    <comment ref="D202" authorId="2" shapeId="0">
      <text>
        <r>
          <rPr>
            <b/>
            <sz val="9"/>
            <color indexed="81"/>
            <rFont val="Tahoma"/>
            <family val="2"/>
            <charset val="238"/>
          </rPr>
          <t>Jana:</t>
        </r>
        <r>
          <rPr>
            <sz val="9"/>
            <color indexed="81"/>
            <rFont val="Tahoma"/>
            <family val="2"/>
            <charset val="238"/>
          </rPr>
          <t xml:space="preserve">
2105 ro40 +1.395.266</t>
        </r>
      </text>
    </comment>
    <comment ref="D203" authorId="1" shapeId="0">
      <text>
        <r>
          <rPr>
            <b/>
            <sz val="9"/>
            <color indexed="81"/>
            <rFont val="Tahoma"/>
            <family val="2"/>
            <charset val="238"/>
          </rPr>
          <t>Jana Holíková:</t>
        </r>
        <r>
          <rPr>
            <sz val="9"/>
            <color indexed="81"/>
            <rFont val="Tahoma"/>
            <family val="2"/>
            <charset val="238"/>
          </rPr>
          <t xml:space="preserve">
2102 ro02 +68.450,27 </t>
        </r>
      </text>
    </comment>
    <comment ref="D204" authorId="1" shapeId="0">
      <text>
        <r>
          <rPr>
            <b/>
            <sz val="9"/>
            <color indexed="81"/>
            <rFont val="Tahoma"/>
            <family val="2"/>
            <charset val="238"/>
          </rPr>
          <t>Jana Holíková:</t>
        </r>
        <r>
          <rPr>
            <sz val="9"/>
            <color indexed="81"/>
            <rFont val="Tahoma"/>
            <family val="2"/>
            <charset val="238"/>
          </rPr>
          <t xml:space="preserve">
2102 ro 02 +1.163.654,63</t>
        </r>
      </text>
    </comment>
    <comment ref="D205" authorId="1" shapeId="0">
      <text>
        <r>
          <rPr>
            <b/>
            <sz val="9"/>
            <color indexed="81"/>
            <rFont val="Tahoma"/>
            <family val="2"/>
            <charset val="238"/>
          </rPr>
          <t>Jana Holíková:</t>
        </r>
        <r>
          <rPr>
            <sz val="9"/>
            <color indexed="81"/>
            <rFont val="Tahoma"/>
            <family val="2"/>
            <charset val="238"/>
          </rPr>
          <t xml:space="preserve">
2102 ro10 +726 </t>
        </r>
      </text>
    </comment>
    <comment ref="D206" authorId="1" shapeId="0">
      <text>
        <r>
          <rPr>
            <b/>
            <sz val="9"/>
            <color indexed="81"/>
            <rFont val="Tahoma"/>
            <family val="2"/>
            <charset val="238"/>
          </rPr>
          <t>Jana Holíková:</t>
        </r>
        <r>
          <rPr>
            <sz val="9"/>
            <color indexed="81"/>
            <rFont val="Tahoma"/>
            <family val="2"/>
            <charset val="238"/>
          </rPr>
          <t xml:space="preserve">
2102 ro 10 +14.520</t>
        </r>
      </text>
    </comment>
    <comment ref="D207" authorId="2" shapeId="0">
      <text>
        <r>
          <rPr>
            <b/>
            <sz val="9"/>
            <color indexed="81"/>
            <rFont val="Tahoma"/>
            <family val="2"/>
            <charset val="238"/>
          </rPr>
          <t>Jana:</t>
        </r>
        <r>
          <rPr>
            <sz val="9"/>
            <color indexed="81"/>
            <rFont val="Tahoma"/>
            <family val="2"/>
            <charset val="238"/>
          </rPr>
          <t xml:space="preserve">
2106 ro54 +167.860</t>
        </r>
      </text>
    </comment>
    <comment ref="D208" authorId="1" shapeId="0">
      <text>
        <r>
          <rPr>
            <b/>
            <sz val="9"/>
            <color indexed="81"/>
            <rFont val="Tahoma"/>
            <family val="2"/>
            <charset val="238"/>
          </rPr>
          <t>Jana Holíková:</t>
        </r>
        <r>
          <rPr>
            <sz val="9"/>
            <color indexed="81"/>
            <rFont val="Tahoma"/>
            <family val="2"/>
            <charset val="238"/>
          </rPr>
          <t xml:space="preserve">
2102 ro3 úz 33063
+ 70.381,36 1031
+398.827,64 1035</t>
        </r>
      </text>
    </comment>
    <comment ref="D209" authorId="1" shapeId="0">
      <text>
        <r>
          <rPr>
            <b/>
            <sz val="9"/>
            <color indexed="81"/>
            <rFont val="Tahoma"/>
            <family val="2"/>
            <charset val="238"/>
          </rPr>
          <t>Jana Holíková:</t>
        </r>
        <r>
          <rPr>
            <sz val="9"/>
            <color indexed="81"/>
            <rFont val="Tahoma"/>
            <family val="2"/>
            <charset val="238"/>
          </rPr>
          <t xml:space="preserve">
2103 ro24 úz 33063
+169.419,91 1031
+960.046,09 1035</t>
        </r>
      </text>
    </comment>
    <comment ref="D210" authorId="2" shapeId="0">
      <text>
        <r>
          <rPr>
            <b/>
            <sz val="9"/>
            <color indexed="81"/>
            <rFont val="Tahoma"/>
            <family val="2"/>
            <charset val="238"/>
          </rPr>
          <t>Jana:</t>
        </r>
        <r>
          <rPr>
            <sz val="9"/>
            <color indexed="81"/>
            <rFont val="Tahoma"/>
            <family val="2"/>
            <charset val="238"/>
          </rPr>
          <t xml:space="preserve">
2106 ro56 +62.300</t>
        </r>
      </text>
    </comment>
    <comment ref="D212" authorId="2" shapeId="0">
      <text>
        <r>
          <rPr>
            <b/>
            <sz val="9"/>
            <color indexed="81"/>
            <rFont val="Tahoma"/>
            <family val="2"/>
            <charset val="238"/>
          </rPr>
          <t>Jana:</t>
        </r>
        <r>
          <rPr>
            <sz val="9"/>
            <color indexed="81"/>
            <rFont val="Tahoma"/>
            <family val="2"/>
            <charset val="238"/>
          </rPr>
          <t xml:space="preserve">
2106 ro51 +34.000</t>
        </r>
      </text>
    </comment>
    <comment ref="D217" authorId="2" shapeId="0">
      <text>
        <r>
          <rPr>
            <b/>
            <sz val="9"/>
            <color indexed="81"/>
            <rFont val="Tahoma"/>
            <family val="2"/>
            <charset val="238"/>
          </rPr>
          <t>Jana:</t>
        </r>
        <r>
          <rPr>
            <sz val="9"/>
            <color indexed="81"/>
            <rFont val="Tahoma"/>
            <family val="2"/>
            <charset val="238"/>
          </rPr>
          <t xml:space="preserve">
2106 ro51 +434.660</t>
        </r>
      </text>
    </comment>
    <comment ref="D218" authorId="2" shapeId="0">
      <text>
        <r>
          <rPr>
            <b/>
            <sz val="9"/>
            <color indexed="81"/>
            <rFont val="Tahoma"/>
            <family val="2"/>
            <charset val="238"/>
          </rPr>
          <t>Jana:</t>
        </r>
        <r>
          <rPr>
            <sz val="9"/>
            <color indexed="81"/>
            <rFont val="Tahoma"/>
            <family val="2"/>
            <charset val="238"/>
          </rPr>
          <t xml:space="preserve">
2106 ro51 +4.000</t>
        </r>
      </text>
    </comment>
    <comment ref="D221" authorId="2" shapeId="0">
      <text>
        <r>
          <rPr>
            <b/>
            <sz val="9"/>
            <color indexed="81"/>
            <rFont val="Tahoma"/>
            <family val="2"/>
            <charset val="238"/>
          </rPr>
          <t>Jana:</t>
        </r>
        <r>
          <rPr>
            <sz val="9"/>
            <color indexed="81"/>
            <rFont val="Tahoma"/>
            <family val="2"/>
            <charset val="238"/>
          </rPr>
          <t xml:space="preserve">
2106 ro55 +106.000</t>
        </r>
      </text>
    </comment>
    <comment ref="D222" authorId="1" shapeId="0">
      <text>
        <r>
          <rPr>
            <b/>
            <sz val="9"/>
            <color indexed="81"/>
            <rFont val="Tahoma"/>
            <family val="2"/>
            <charset val="238"/>
          </rPr>
          <t>Jana Holíková:</t>
        </r>
        <r>
          <rPr>
            <sz val="9"/>
            <color indexed="81"/>
            <rFont val="Tahoma"/>
            <family val="2"/>
            <charset val="238"/>
          </rPr>
          <t xml:space="preserve">
2102 ro4 úz345
+4.123.000</t>
        </r>
      </text>
    </comment>
    <comment ref="D223" authorId="1" shapeId="0">
      <text>
        <r>
          <rPr>
            <b/>
            <sz val="9"/>
            <color indexed="81"/>
            <rFont val="Tahoma"/>
            <family val="2"/>
            <charset val="238"/>
          </rPr>
          <t>Jana Holíková:</t>
        </r>
        <r>
          <rPr>
            <sz val="9"/>
            <color indexed="81"/>
            <rFont val="Tahoma"/>
            <family val="2"/>
            <charset val="238"/>
          </rPr>
          <t xml:space="preserve">
2104 ro36 úz691
+100.000</t>
        </r>
      </text>
    </comment>
    <comment ref="D224" authorId="2" shapeId="0">
      <text>
        <r>
          <rPr>
            <b/>
            <sz val="9"/>
            <color indexed="81"/>
            <rFont val="Tahoma"/>
            <family val="2"/>
            <charset val="238"/>
          </rPr>
          <t>Jana:</t>
        </r>
        <r>
          <rPr>
            <sz val="9"/>
            <color indexed="81"/>
            <rFont val="Tahoma"/>
            <family val="2"/>
            <charset val="238"/>
          </rPr>
          <t xml:space="preserve">
2104 ro35 +5.584.000</t>
        </r>
      </text>
    </comment>
    <comment ref="D235" authorId="2" shapeId="0">
      <text>
        <r>
          <rPr>
            <b/>
            <sz val="9"/>
            <color indexed="81"/>
            <rFont val="Tahoma"/>
            <family val="2"/>
            <charset val="238"/>
          </rPr>
          <t>Jana:</t>
        </r>
        <r>
          <rPr>
            <sz val="9"/>
            <color indexed="81"/>
            <rFont val="Tahoma"/>
            <family val="2"/>
            <charset val="238"/>
          </rPr>
          <t xml:space="preserve">
2104 ro31 úz13013
+  59.625    1041
+506.812,5  1045</t>
        </r>
      </text>
    </comment>
    <comment ref="D236" authorId="1" shapeId="0">
      <text>
        <r>
          <rPr>
            <b/>
            <sz val="9"/>
            <color indexed="81"/>
            <rFont val="Tahoma"/>
            <family val="2"/>
            <charset val="238"/>
          </rPr>
          <t>Jana Holíková:</t>
        </r>
        <r>
          <rPr>
            <sz val="9"/>
            <color indexed="81"/>
            <rFont val="Tahoma"/>
            <family val="2"/>
            <charset val="238"/>
          </rPr>
          <t xml:space="preserve">
2102 ro 2 +51.518,60</t>
        </r>
      </text>
    </comment>
    <comment ref="D237" authorId="1" shapeId="0">
      <text>
        <r>
          <rPr>
            <b/>
            <sz val="9"/>
            <color indexed="81"/>
            <rFont val="Tahoma"/>
            <family val="2"/>
            <charset val="238"/>
          </rPr>
          <t>Jana Holíková:</t>
        </r>
        <r>
          <rPr>
            <sz val="9"/>
            <color indexed="81"/>
            <rFont val="Tahoma"/>
            <family val="2"/>
            <charset val="238"/>
          </rPr>
          <t xml:space="preserve">
2102 ro 2 +875.816,20</t>
        </r>
      </text>
    </comment>
    <comment ref="D238" authorId="1" shapeId="0">
      <text>
        <r>
          <rPr>
            <b/>
            <sz val="9"/>
            <color indexed="81"/>
            <rFont val="Tahoma"/>
            <family val="2"/>
            <charset val="238"/>
          </rPr>
          <t>Jana Holíková:</t>
        </r>
        <r>
          <rPr>
            <sz val="9"/>
            <color indexed="81"/>
            <rFont val="Tahoma"/>
            <family val="2"/>
            <charset val="238"/>
          </rPr>
          <t xml:space="preserve">
2102 ro10 +43,084,73</t>
        </r>
      </text>
    </comment>
    <comment ref="D239" authorId="1" shapeId="0">
      <text>
        <r>
          <rPr>
            <b/>
            <sz val="9"/>
            <color indexed="81"/>
            <rFont val="Tahoma"/>
            <family val="2"/>
            <charset val="238"/>
          </rPr>
          <t>Jana Holíková:</t>
        </r>
        <r>
          <rPr>
            <sz val="9"/>
            <color indexed="81"/>
            <rFont val="Tahoma"/>
            <family val="2"/>
            <charset val="238"/>
          </rPr>
          <t xml:space="preserve">
2102 ro10 +861.694,74</t>
        </r>
      </text>
    </comment>
    <comment ref="D240" authorId="1" shapeId="0">
      <text>
        <r>
          <rPr>
            <b/>
            <sz val="9"/>
            <color indexed="81"/>
            <rFont val="Tahoma"/>
            <family val="2"/>
            <charset val="238"/>
          </rPr>
          <t>Jana Holíková:</t>
        </r>
        <r>
          <rPr>
            <sz val="9"/>
            <color indexed="81"/>
            <rFont val="Tahoma"/>
            <family val="2"/>
            <charset val="238"/>
          </rPr>
          <t xml:space="preserve">
2103 ro12 +2.226.747,48</t>
        </r>
      </text>
    </comment>
    <comment ref="D243" authorId="1" shapeId="0">
      <text>
        <r>
          <rPr>
            <b/>
            <sz val="9"/>
            <color indexed="81"/>
            <rFont val="Tahoma"/>
            <family val="2"/>
            <charset val="238"/>
          </rPr>
          <t>Jana Holíková:</t>
        </r>
        <r>
          <rPr>
            <sz val="9"/>
            <color indexed="81"/>
            <rFont val="Tahoma"/>
            <family val="2"/>
            <charset val="238"/>
          </rPr>
          <t xml:space="preserve">
2103 ro12 úz201
+3.436.854,42
-3.700.000</t>
        </r>
      </text>
    </comment>
    <comment ref="D245" authorId="1" shapeId="0">
      <text>
        <r>
          <rPr>
            <b/>
            <sz val="9"/>
            <color indexed="81"/>
            <rFont val="Tahoma"/>
            <family val="2"/>
            <charset val="238"/>
          </rPr>
          <t>Jana Holíková:</t>
        </r>
        <r>
          <rPr>
            <sz val="9"/>
            <color indexed="81"/>
            <rFont val="Tahoma"/>
            <family val="2"/>
            <charset val="238"/>
          </rPr>
          <t xml:space="preserve">
2103 ro16 -60.000</t>
        </r>
      </text>
    </comment>
    <comment ref="D250" authorId="1" shapeId="0">
      <text>
        <r>
          <rPr>
            <b/>
            <sz val="9"/>
            <color indexed="81"/>
            <rFont val="Tahoma"/>
            <family val="2"/>
            <charset val="238"/>
          </rPr>
          <t>Jana Holíková:</t>
        </r>
        <r>
          <rPr>
            <sz val="9"/>
            <color indexed="81"/>
            <rFont val="Tahoma"/>
            <family val="2"/>
            <charset val="238"/>
          </rPr>
          <t xml:space="preserve">
2103 ro17 -7.195.200</t>
        </r>
      </text>
    </comment>
    <comment ref="D280" authorId="2" shapeId="0">
      <text>
        <r>
          <rPr>
            <b/>
            <sz val="9"/>
            <color indexed="81"/>
            <rFont val="Tahoma"/>
            <family val="2"/>
            <charset val="238"/>
          </rPr>
          <t>Jana:</t>
        </r>
        <r>
          <rPr>
            <sz val="9"/>
            <color indexed="81"/>
            <rFont val="Tahoma"/>
            <family val="2"/>
            <charset val="238"/>
          </rPr>
          <t xml:space="preserve">
2105 ro37 +42.500</t>
        </r>
      </text>
    </comment>
    <comment ref="D281" authorId="2" shapeId="0">
      <text>
        <r>
          <rPr>
            <b/>
            <sz val="9"/>
            <color indexed="81"/>
            <rFont val="Tahoma"/>
            <family val="2"/>
            <charset val="238"/>
          </rPr>
          <t>Jana:</t>
        </r>
        <r>
          <rPr>
            <sz val="9"/>
            <color indexed="81"/>
            <rFont val="Tahoma"/>
            <family val="2"/>
            <charset val="238"/>
          </rPr>
          <t xml:space="preserve">
2105 ro37 +87.350</t>
        </r>
      </text>
    </comment>
    <comment ref="D282" authorId="2" shapeId="0">
      <text>
        <r>
          <rPr>
            <b/>
            <sz val="9"/>
            <color indexed="81"/>
            <rFont val="Tahoma"/>
            <family val="2"/>
            <charset val="238"/>
          </rPr>
          <t>Jana:</t>
        </r>
        <r>
          <rPr>
            <sz val="9"/>
            <color indexed="81"/>
            <rFont val="Tahoma"/>
            <family val="2"/>
            <charset val="238"/>
          </rPr>
          <t xml:space="preserve">
2105 ro39 +2.640</t>
        </r>
      </text>
    </comment>
    <comment ref="D287" authorId="2" shapeId="0">
      <text>
        <r>
          <rPr>
            <b/>
            <sz val="9"/>
            <color indexed="81"/>
            <rFont val="Tahoma"/>
            <family val="2"/>
            <charset val="238"/>
          </rPr>
          <t>Jana:</t>
        </r>
        <r>
          <rPr>
            <sz val="9"/>
            <color indexed="81"/>
            <rFont val="Tahoma"/>
            <family val="2"/>
            <charset val="238"/>
          </rPr>
          <t xml:space="preserve">
2105 ro50 +1.155.128,50</t>
        </r>
      </text>
    </comment>
    <comment ref="D301" authorId="2" shapeId="0">
      <text>
        <r>
          <rPr>
            <b/>
            <sz val="9"/>
            <color indexed="81"/>
            <rFont val="Tahoma"/>
            <family val="2"/>
            <charset val="238"/>
          </rPr>
          <t>Jana:</t>
        </r>
        <r>
          <rPr>
            <sz val="9"/>
            <color indexed="81"/>
            <rFont val="Tahoma"/>
            <family val="2"/>
            <charset val="238"/>
          </rPr>
          <t xml:space="preserve">
210501 +-201.199</t>
        </r>
      </text>
    </comment>
    <comment ref="D309" authorId="2" shapeId="0">
      <text>
        <r>
          <rPr>
            <b/>
            <sz val="9"/>
            <color indexed="81"/>
            <rFont val="Tahoma"/>
            <family val="2"/>
            <charset val="238"/>
          </rPr>
          <t>Jana:</t>
        </r>
        <r>
          <rPr>
            <sz val="9"/>
            <color indexed="81"/>
            <rFont val="Tahoma"/>
            <family val="2"/>
            <charset val="238"/>
          </rPr>
          <t xml:space="preserve">
2105 ro37 +23.550</t>
        </r>
      </text>
    </comment>
    <comment ref="D314" authorId="2" shapeId="0">
      <text>
        <r>
          <rPr>
            <b/>
            <sz val="9"/>
            <color indexed="81"/>
            <rFont val="Tahoma"/>
            <family val="2"/>
            <charset val="238"/>
          </rPr>
          <t>Jana:</t>
        </r>
        <r>
          <rPr>
            <sz val="9"/>
            <color indexed="81"/>
            <rFont val="Tahoma"/>
            <family val="2"/>
            <charset val="238"/>
          </rPr>
          <t xml:space="preserve">
2105 ro37 +23.550</t>
        </r>
      </text>
    </comment>
    <comment ref="D317" authorId="2" shapeId="0">
      <text>
        <r>
          <rPr>
            <b/>
            <sz val="9"/>
            <color indexed="81"/>
            <rFont val="Tahoma"/>
            <family val="2"/>
            <charset val="238"/>
          </rPr>
          <t>Jana:</t>
        </r>
        <r>
          <rPr>
            <sz val="9"/>
            <color indexed="81"/>
            <rFont val="Tahoma"/>
            <family val="2"/>
            <charset val="238"/>
          </rPr>
          <t xml:space="preserve">
210604 +281,23</t>
        </r>
      </text>
    </comment>
    <comment ref="D318" authorId="2" shapeId="0">
      <text>
        <r>
          <rPr>
            <b/>
            <sz val="9"/>
            <color indexed="81"/>
            <rFont val="Tahoma"/>
            <family val="2"/>
            <charset val="238"/>
          </rPr>
          <t>Jana:</t>
        </r>
        <r>
          <rPr>
            <sz val="9"/>
            <color indexed="81"/>
            <rFont val="Tahoma"/>
            <family val="2"/>
            <charset val="238"/>
          </rPr>
          <t xml:space="preserve">
210604 -281,23</t>
        </r>
      </text>
    </comment>
    <comment ref="D325" authorId="2" shapeId="0">
      <text>
        <r>
          <rPr>
            <b/>
            <sz val="9"/>
            <color indexed="81"/>
            <rFont val="Tahoma"/>
            <family val="2"/>
            <charset val="238"/>
          </rPr>
          <t>Jana:</t>
        </r>
        <r>
          <rPr>
            <sz val="9"/>
            <color indexed="81"/>
            <rFont val="Tahoma"/>
            <family val="2"/>
            <charset val="238"/>
          </rPr>
          <t xml:space="preserve">
210606 -93.200</t>
        </r>
      </text>
    </comment>
    <comment ref="D326" authorId="2" shapeId="0">
      <text>
        <r>
          <rPr>
            <b/>
            <sz val="9"/>
            <color indexed="81"/>
            <rFont val="Tahoma"/>
            <family val="2"/>
            <charset val="238"/>
          </rPr>
          <t>Jana:</t>
        </r>
        <r>
          <rPr>
            <sz val="9"/>
            <color indexed="81"/>
            <rFont val="Tahoma"/>
            <family val="2"/>
            <charset val="238"/>
          </rPr>
          <t xml:space="preserve">
210606 +93.200</t>
        </r>
      </text>
    </comment>
    <comment ref="D329" authorId="2" shapeId="0">
      <text>
        <r>
          <rPr>
            <b/>
            <sz val="9"/>
            <color indexed="81"/>
            <rFont val="Tahoma"/>
            <family val="2"/>
            <charset val="238"/>
          </rPr>
          <t>Jana:</t>
        </r>
        <r>
          <rPr>
            <sz val="9"/>
            <color indexed="81"/>
            <rFont val="Tahoma"/>
            <family val="2"/>
            <charset val="238"/>
          </rPr>
          <t xml:space="preserve">
210408 +21.000</t>
        </r>
      </text>
    </comment>
    <comment ref="D330" authorId="2" shapeId="0">
      <text>
        <r>
          <rPr>
            <b/>
            <sz val="9"/>
            <color indexed="81"/>
            <rFont val="Tahoma"/>
            <family val="2"/>
            <charset val="238"/>
          </rPr>
          <t>Jana:</t>
        </r>
        <r>
          <rPr>
            <sz val="9"/>
            <color indexed="81"/>
            <rFont val="Tahoma"/>
            <family val="2"/>
            <charset val="238"/>
          </rPr>
          <t xml:space="preserve">
210404 -15.000
210408 -21.000</t>
        </r>
      </text>
    </comment>
    <comment ref="D332" authorId="2" shapeId="0">
      <text>
        <r>
          <rPr>
            <b/>
            <sz val="9"/>
            <color indexed="81"/>
            <rFont val="Tahoma"/>
            <family val="2"/>
            <charset val="238"/>
          </rPr>
          <t>Jana:</t>
        </r>
        <r>
          <rPr>
            <sz val="9"/>
            <color indexed="81"/>
            <rFont val="Tahoma"/>
            <family val="2"/>
            <charset val="238"/>
          </rPr>
          <t xml:space="preserve">
210404 +15.000</t>
        </r>
      </text>
    </comment>
    <comment ref="D344" authorId="1" shapeId="0">
      <text>
        <r>
          <rPr>
            <b/>
            <sz val="9"/>
            <color indexed="81"/>
            <rFont val="Tahoma"/>
            <family val="2"/>
            <charset val="238"/>
          </rPr>
          <t>Jana Holíková:</t>
        </r>
        <r>
          <rPr>
            <sz val="9"/>
            <color indexed="81"/>
            <rFont val="Tahoma"/>
            <family val="2"/>
            <charset val="238"/>
          </rPr>
          <t xml:space="preserve">
2103 ro11 -170.000</t>
        </r>
      </text>
    </comment>
    <comment ref="D352" authorId="1" shapeId="0">
      <text>
        <r>
          <rPr>
            <b/>
            <sz val="9"/>
            <color indexed="81"/>
            <rFont val="Tahoma"/>
            <family val="2"/>
            <charset val="238"/>
          </rPr>
          <t>Jana Holíková:</t>
        </r>
        <r>
          <rPr>
            <sz val="9"/>
            <color indexed="81"/>
            <rFont val="Tahoma"/>
            <family val="2"/>
            <charset val="238"/>
          </rPr>
          <t xml:space="preserve">
210202 -82.280</t>
        </r>
      </text>
    </comment>
    <comment ref="D353" authorId="2" shapeId="0">
      <text>
        <r>
          <rPr>
            <b/>
            <sz val="9"/>
            <color indexed="81"/>
            <rFont val="Tahoma"/>
            <family val="2"/>
            <charset val="238"/>
          </rPr>
          <t>Jana:</t>
        </r>
        <r>
          <rPr>
            <sz val="9"/>
            <color indexed="81"/>
            <rFont val="Tahoma"/>
            <family val="2"/>
            <charset val="238"/>
          </rPr>
          <t xml:space="preserve">
210607 -450.000</t>
        </r>
      </text>
    </comment>
    <comment ref="D356" authorId="1" shapeId="0">
      <text>
        <r>
          <rPr>
            <b/>
            <sz val="9"/>
            <color indexed="81"/>
            <rFont val="Tahoma"/>
            <family val="2"/>
            <charset val="238"/>
          </rPr>
          <t>Jana Holíková:</t>
        </r>
        <r>
          <rPr>
            <sz val="9"/>
            <color indexed="81"/>
            <rFont val="Tahoma"/>
            <family val="2"/>
            <charset val="238"/>
          </rPr>
          <t xml:space="preserve">
2103 ro11 -160.500</t>
        </r>
      </text>
    </comment>
    <comment ref="D357" authorId="1" shapeId="0">
      <text>
        <r>
          <rPr>
            <b/>
            <sz val="9"/>
            <color indexed="81"/>
            <rFont val="Tahoma"/>
            <family val="2"/>
            <charset val="238"/>
          </rPr>
          <t>Jana Holíková:</t>
        </r>
        <r>
          <rPr>
            <sz val="9"/>
            <color indexed="81"/>
            <rFont val="Tahoma"/>
            <family val="2"/>
            <charset val="238"/>
          </rPr>
          <t xml:space="preserve">
210303 -215.890
210304 -162.803</t>
        </r>
      </text>
    </comment>
    <comment ref="D359" authorId="1" shapeId="0">
      <text>
        <r>
          <rPr>
            <b/>
            <sz val="9"/>
            <color indexed="81"/>
            <rFont val="Tahoma"/>
            <family val="2"/>
            <charset val="238"/>
          </rPr>
          <t>Jana Holíková:</t>
        </r>
        <r>
          <rPr>
            <sz val="9"/>
            <color indexed="81"/>
            <rFont val="Tahoma"/>
            <family val="2"/>
            <charset val="238"/>
          </rPr>
          <t xml:space="preserve">
210304 +162.803</t>
        </r>
      </text>
    </comment>
    <comment ref="D364" authorId="2" shapeId="0">
      <text>
        <r>
          <rPr>
            <b/>
            <sz val="9"/>
            <color indexed="81"/>
            <rFont val="Tahoma"/>
            <family val="2"/>
            <charset val="238"/>
          </rPr>
          <t>Jana:</t>
        </r>
        <r>
          <rPr>
            <sz val="9"/>
            <color indexed="81"/>
            <rFont val="Tahoma"/>
            <family val="2"/>
            <charset val="238"/>
          </rPr>
          <t xml:space="preserve">
210607 +450.000</t>
        </r>
      </text>
    </comment>
    <comment ref="D368" authorId="1" shapeId="0">
      <text>
        <r>
          <rPr>
            <b/>
            <sz val="9"/>
            <color indexed="81"/>
            <rFont val="Tahoma"/>
            <family val="2"/>
            <charset val="238"/>
          </rPr>
          <t>Jana Holíková:</t>
        </r>
        <r>
          <rPr>
            <sz val="9"/>
            <color indexed="81"/>
            <rFont val="Tahoma"/>
            <family val="2"/>
            <charset val="238"/>
          </rPr>
          <t xml:space="preserve">
210303 +95.430</t>
        </r>
      </text>
    </comment>
    <comment ref="D369" authorId="1" shapeId="0">
      <text>
        <r>
          <rPr>
            <b/>
            <sz val="9"/>
            <color indexed="81"/>
            <rFont val="Tahoma"/>
            <family val="2"/>
            <charset val="238"/>
          </rPr>
          <t>Jana Holíková:</t>
        </r>
        <r>
          <rPr>
            <sz val="9"/>
            <color indexed="81"/>
            <rFont val="Tahoma"/>
            <family val="2"/>
            <charset val="238"/>
          </rPr>
          <t xml:space="preserve">
210303 +8.029</t>
        </r>
      </text>
    </comment>
    <comment ref="D370" authorId="1" shapeId="0">
      <text>
        <r>
          <rPr>
            <b/>
            <sz val="9"/>
            <color indexed="81"/>
            <rFont val="Tahoma"/>
            <family val="2"/>
            <charset val="238"/>
          </rPr>
          <t>Jana Holíková:</t>
        </r>
        <r>
          <rPr>
            <sz val="9"/>
            <color indexed="81"/>
            <rFont val="Tahoma"/>
            <family val="2"/>
            <charset val="238"/>
          </rPr>
          <t xml:space="preserve">
210303 +80.396</t>
        </r>
      </text>
    </comment>
    <comment ref="D372" authorId="1" shapeId="0">
      <text>
        <r>
          <rPr>
            <b/>
            <sz val="9"/>
            <color indexed="81"/>
            <rFont val="Tahoma"/>
            <family val="2"/>
            <charset val="238"/>
          </rPr>
          <t>Jana Holíková:</t>
        </r>
        <r>
          <rPr>
            <sz val="9"/>
            <color indexed="81"/>
            <rFont val="Tahoma"/>
            <family val="2"/>
            <charset val="238"/>
          </rPr>
          <t xml:space="preserve">
210303 +32.035</t>
        </r>
      </text>
    </comment>
    <comment ref="D374" authorId="1" shapeId="0">
      <text>
        <r>
          <rPr>
            <b/>
            <sz val="9"/>
            <color indexed="81"/>
            <rFont val="Tahoma"/>
            <family val="2"/>
            <charset val="238"/>
          </rPr>
          <t>Jana Holíková:</t>
        </r>
        <r>
          <rPr>
            <sz val="9"/>
            <color indexed="81"/>
            <rFont val="Tahoma"/>
            <family val="2"/>
            <charset val="238"/>
          </rPr>
          <t xml:space="preserve">
2103 ro11 -100.000</t>
        </r>
      </text>
    </comment>
    <comment ref="D376" authorId="1" shapeId="0">
      <text>
        <r>
          <rPr>
            <b/>
            <sz val="9"/>
            <color indexed="81"/>
            <rFont val="Tahoma"/>
            <family val="2"/>
            <charset val="238"/>
          </rPr>
          <t>Jana Holíková:</t>
        </r>
        <r>
          <rPr>
            <sz val="9"/>
            <color indexed="81"/>
            <rFont val="Tahoma"/>
            <family val="2"/>
            <charset val="238"/>
          </rPr>
          <t xml:space="preserve">
210202 +82.280</t>
        </r>
      </text>
    </comment>
    <comment ref="D389" authorId="1" shapeId="0">
      <text>
        <r>
          <rPr>
            <b/>
            <sz val="9"/>
            <color indexed="81"/>
            <rFont val="Tahoma"/>
            <family val="2"/>
            <charset val="238"/>
          </rPr>
          <t>Jana Holíková:</t>
        </r>
        <r>
          <rPr>
            <sz val="9"/>
            <color indexed="81"/>
            <rFont val="Tahoma"/>
            <family val="2"/>
            <charset val="238"/>
          </rPr>
          <t xml:space="preserve">
2103 ro11 -700.000</t>
        </r>
      </text>
    </comment>
    <comment ref="D398" authorId="2" shapeId="0">
      <text>
        <r>
          <rPr>
            <b/>
            <sz val="9"/>
            <color indexed="81"/>
            <rFont val="Tahoma"/>
            <family val="2"/>
            <charset val="238"/>
          </rPr>
          <t>Jana:</t>
        </r>
        <r>
          <rPr>
            <sz val="9"/>
            <color indexed="81"/>
            <rFont val="Tahoma"/>
            <family val="2"/>
            <charset val="238"/>
          </rPr>
          <t xml:space="preserve">
2105 ro48 -6.000.000</t>
        </r>
      </text>
    </comment>
    <comment ref="D400" authorId="1" shapeId="0">
      <text>
        <r>
          <rPr>
            <b/>
            <sz val="9"/>
            <color indexed="81"/>
            <rFont val="Tahoma"/>
            <family val="2"/>
            <charset val="238"/>
          </rPr>
          <t>Jana Holíková:</t>
        </r>
        <r>
          <rPr>
            <sz val="9"/>
            <color indexed="81"/>
            <rFont val="Tahoma"/>
            <family val="2"/>
            <charset val="238"/>
          </rPr>
          <t xml:space="preserve">
2103 ro11 -1.000.000</t>
        </r>
      </text>
    </comment>
    <comment ref="D401" authorId="2" shapeId="0">
      <text>
        <r>
          <rPr>
            <b/>
            <sz val="9"/>
            <color indexed="81"/>
            <rFont val="Tahoma"/>
            <family val="2"/>
            <charset val="238"/>
          </rPr>
          <t>Jana:</t>
        </r>
        <r>
          <rPr>
            <sz val="9"/>
            <color indexed="81"/>
            <rFont val="Tahoma"/>
            <family val="2"/>
            <charset val="238"/>
          </rPr>
          <t xml:space="preserve">
210403 -60.000</t>
        </r>
      </text>
    </comment>
    <comment ref="D405" authorId="2" shapeId="0">
      <text>
        <r>
          <rPr>
            <b/>
            <sz val="9"/>
            <color indexed="81"/>
            <rFont val="Tahoma"/>
            <family val="2"/>
            <charset val="238"/>
          </rPr>
          <t>Jana:</t>
        </r>
        <r>
          <rPr>
            <sz val="9"/>
            <color indexed="81"/>
            <rFont val="Tahoma"/>
            <family val="2"/>
            <charset val="238"/>
          </rPr>
          <t xml:space="preserve">
210403 +60.000</t>
        </r>
      </text>
    </comment>
    <comment ref="D408" authorId="2" shapeId="0">
      <text>
        <r>
          <rPr>
            <b/>
            <sz val="9"/>
            <color indexed="81"/>
            <rFont val="Tahoma"/>
            <family val="2"/>
            <charset val="238"/>
          </rPr>
          <t>Jana:</t>
        </r>
        <r>
          <rPr>
            <sz val="9"/>
            <color indexed="81"/>
            <rFont val="Tahoma"/>
            <family val="2"/>
            <charset val="238"/>
          </rPr>
          <t xml:space="preserve">
2105 ro41 -8.000.000</t>
        </r>
      </text>
    </comment>
    <comment ref="D410" authorId="2" shapeId="0">
      <text>
        <r>
          <rPr>
            <b/>
            <sz val="9"/>
            <color indexed="81"/>
            <rFont val="Tahoma"/>
            <family val="2"/>
            <charset val="238"/>
          </rPr>
          <t>Jana:</t>
        </r>
        <r>
          <rPr>
            <sz val="9"/>
            <color indexed="81"/>
            <rFont val="Tahoma"/>
            <family val="2"/>
            <charset val="238"/>
          </rPr>
          <t xml:space="preserve">
2106 ro52 -150.000</t>
        </r>
      </text>
    </comment>
    <comment ref="D411" authorId="2" shapeId="0">
      <text>
        <r>
          <rPr>
            <b/>
            <sz val="9"/>
            <color indexed="81"/>
            <rFont val="Tahoma"/>
            <family val="2"/>
            <charset val="238"/>
          </rPr>
          <t>Jana:</t>
        </r>
        <r>
          <rPr>
            <sz val="9"/>
            <color indexed="81"/>
            <rFont val="Tahoma"/>
            <family val="2"/>
            <charset val="238"/>
          </rPr>
          <t xml:space="preserve">
2106 ro52 -150.000</t>
        </r>
      </text>
    </comment>
    <comment ref="D415" authorId="1" shapeId="0">
      <text>
        <r>
          <rPr>
            <b/>
            <sz val="9"/>
            <color indexed="81"/>
            <rFont val="Tahoma"/>
            <family val="2"/>
            <charset val="238"/>
          </rPr>
          <t>Jana Holíková:</t>
        </r>
        <r>
          <rPr>
            <sz val="9"/>
            <color indexed="81"/>
            <rFont val="Tahoma"/>
            <family val="2"/>
            <charset val="238"/>
          </rPr>
          <t xml:space="preserve">
2103 ro18 -810.000
2103 ro25 +2.000.000</t>
        </r>
      </text>
    </comment>
    <comment ref="D416" authorId="1" shapeId="0">
      <text>
        <r>
          <rPr>
            <b/>
            <sz val="9"/>
            <color indexed="81"/>
            <rFont val="Tahoma"/>
            <family val="2"/>
            <charset val="238"/>
          </rPr>
          <t>Jana Holíková:</t>
        </r>
        <r>
          <rPr>
            <sz val="9"/>
            <color indexed="81"/>
            <rFont val="Tahoma"/>
            <family val="2"/>
            <charset val="238"/>
          </rPr>
          <t xml:space="preserve">
2103 ro18 -2.095.129</t>
        </r>
      </text>
    </comment>
    <comment ref="D417" authorId="1" shapeId="0">
      <text>
        <r>
          <rPr>
            <b/>
            <sz val="9"/>
            <color indexed="81"/>
            <rFont val="Tahoma"/>
            <family val="2"/>
            <charset val="238"/>
          </rPr>
          <t>Jana Holíková:</t>
        </r>
        <r>
          <rPr>
            <sz val="9"/>
            <color indexed="81"/>
            <rFont val="Tahoma"/>
            <family val="2"/>
            <charset val="238"/>
          </rPr>
          <t xml:space="preserve">
2103 ro18 -20.000</t>
        </r>
      </text>
    </comment>
    <comment ref="D421" authorId="2" shapeId="0">
      <text>
        <r>
          <rPr>
            <b/>
            <sz val="9"/>
            <color indexed="81"/>
            <rFont val="Tahoma"/>
            <family val="2"/>
            <charset val="238"/>
          </rPr>
          <t>Jana:</t>
        </r>
        <r>
          <rPr>
            <sz val="9"/>
            <color indexed="81"/>
            <rFont val="Tahoma"/>
            <family val="2"/>
            <charset val="238"/>
          </rPr>
          <t xml:space="preserve">
2104 ro36 +100.000</t>
        </r>
      </text>
    </comment>
    <comment ref="D432" authorId="1" shapeId="0">
      <text>
        <r>
          <rPr>
            <b/>
            <sz val="9"/>
            <color indexed="81"/>
            <rFont val="Tahoma"/>
            <family val="2"/>
            <charset val="238"/>
          </rPr>
          <t>Jana Holíková:</t>
        </r>
        <r>
          <rPr>
            <sz val="9"/>
            <color indexed="81"/>
            <rFont val="Tahoma"/>
            <family val="2"/>
            <charset val="238"/>
          </rPr>
          <t xml:space="preserve">
2103 ro11 -150.000</t>
        </r>
      </text>
    </comment>
    <comment ref="D449" authorId="1" shapeId="0">
      <text>
        <r>
          <rPr>
            <b/>
            <sz val="9"/>
            <color indexed="81"/>
            <rFont val="Tahoma"/>
            <family val="2"/>
            <charset val="238"/>
          </rPr>
          <t>Jana Holíková:</t>
        </r>
        <r>
          <rPr>
            <sz val="9"/>
            <color indexed="81"/>
            <rFont val="Tahoma"/>
            <family val="2"/>
            <charset val="238"/>
          </rPr>
          <t xml:space="preserve">
2103 ro11 -60.000</t>
        </r>
      </text>
    </comment>
    <comment ref="D451" authorId="2" shapeId="0">
      <text>
        <r>
          <rPr>
            <b/>
            <sz val="9"/>
            <color indexed="81"/>
            <rFont val="Tahoma"/>
            <family val="2"/>
            <charset val="238"/>
          </rPr>
          <t>Jana:</t>
        </r>
        <r>
          <rPr>
            <sz val="9"/>
            <color indexed="81"/>
            <rFont val="Tahoma"/>
            <family val="2"/>
            <charset val="238"/>
          </rPr>
          <t xml:space="preserve">
2104 ro38 -1.000.000</t>
        </r>
      </text>
    </comment>
    <comment ref="D454" authorId="1" shapeId="0">
      <text>
        <r>
          <rPr>
            <b/>
            <sz val="9"/>
            <color indexed="81"/>
            <rFont val="Tahoma"/>
            <family val="2"/>
            <charset val="238"/>
          </rPr>
          <t>Jana Holíková:</t>
        </r>
        <r>
          <rPr>
            <sz val="9"/>
            <color indexed="81"/>
            <rFont val="Tahoma"/>
            <family val="2"/>
            <charset val="238"/>
          </rPr>
          <t xml:space="preserve">
2102 ro7 +35.940
2103 ro11 -140.000</t>
        </r>
      </text>
    </comment>
    <comment ref="D458" authorId="1" shapeId="0">
      <text>
        <r>
          <rPr>
            <b/>
            <sz val="9"/>
            <color indexed="81"/>
            <rFont val="Tahoma"/>
            <family val="2"/>
            <charset val="238"/>
          </rPr>
          <t>Jana Holíková:</t>
        </r>
        <r>
          <rPr>
            <sz val="9"/>
            <color indexed="81"/>
            <rFont val="Tahoma"/>
            <family val="2"/>
            <charset val="238"/>
          </rPr>
          <t xml:space="preserve">
2102 ro3 úz33063
+ 70.381,36 1031
+398.827,64 1035
2102 ro7 +27.775</t>
        </r>
      </text>
    </comment>
    <comment ref="D469" authorId="1" shapeId="0">
      <text>
        <r>
          <rPr>
            <b/>
            <sz val="9"/>
            <color indexed="81"/>
            <rFont val="Tahoma"/>
            <family val="2"/>
            <charset val="238"/>
          </rPr>
          <t>Jana Holíková:</t>
        </r>
        <r>
          <rPr>
            <sz val="9"/>
            <color indexed="81"/>
            <rFont val="Tahoma"/>
            <family val="2"/>
            <charset val="238"/>
          </rPr>
          <t xml:space="preserve">
2102 ro6 +7.932
2103 ro11 -300.000</t>
        </r>
      </text>
    </comment>
    <comment ref="D470" authorId="2" shapeId="0">
      <text>
        <r>
          <rPr>
            <b/>
            <sz val="9"/>
            <color indexed="81"/>
            <rFont val="Tahoma"/>
            <family val="2"/>
            <charset val="238"/>
          </rPr>
          <t>Jana:</t>
        </r>
        <r>
          <rPr>
            <sz val="9"/>
            <color indexed="81"/>
            <rFont val="Tahoma"/>
            <family val="2"/>
            <charset val="238"/>
          </rPr>
          <t xml:space="preserve">
2105 ro39 +5.000</t>
        </r>
      </text>
    </comment>
    <comment ref="D474" authorId="1" shapeId="0">
      <text>
        <r>
          <rPr>
            <b/>
            <sz val="9"/>
            <color indexed="81"/>
            <rFont val="Tahoma"/>
            <family val="2"/>
            <charset val="238"/>
          </rPr>
          <t>Jana Holíková:</t>
        </r>
        <r>
          <rPr>
            <sz val="9"/>
            <color indexed="81"/>
            <rFont val="Tahoma"/>
            <family val="2"/>
            <charset val="238"/>
          </rPr>
          <t xml:space="preserve">
2103 ro11 -30.000</t>
        </r>
      </text>
    </comment>
    <comment ref="D479" authorId="1" shapeId="0">
      <text>
        <r>
          <rPr>
            <b/>
            <sz val="9"/>
            <color indexed="81"/>
            <rFont val="Tahoma"/>
            <family val="2"/>
            <charset val="238"/>
          </rPr>
          <t>Jana Holíková:</t>
        </r>
        <r>
          <rPr>
            <sz val="9"/>
            <color indexed="81"/>
            <rFont val="Tahoma"/>
            <family val="2"/>
            <charset val="238"/>
          </rPr>
          <t xml:space="preserve">
2102 ro 2
 +   68.450,27 úz 17015, náz 1071
+1.163.654,63 úz 17016, náz 1075 
2103 ro11 -80.000</t>
        </r>
      </text>
    </comment>
    <comment ref="D480" authorId="2" shapeId="0">
      <text>
        <r>
          <rPr>
            <b/>
            <sz val="9"/>
            <color indexed="81"/>
            <rFont val="Tahoma"/>
            <family val="2"/>
            <charset val="238"/>
          </rPr>
          <t>Jana:</t>
        </r>
        <r>
          <rPr>
            <sz val="9"/>
            <color indexed="81"/>
            <rFont val="Tahoma"/>
            <family val="2"/>
            <charset val="238"/>
          </rPr>
          <t xml:space="preserve">
2105 ro38 -2.000.000</t>
        </r>
      </text>
    </comment>
    <comment ref="D481" authorId="1" shapeId="0">
      <text>
        <r>
          <rPr>
            <b/>
            <sz val="9"/>
            <color indexed="81"/>
            <rFont val="Tahoma"/>
            <family val="2"/>
            <charset val="238"/>
          </rPr>
          <t>Jana Holíková:</t>
        </r>
        <r>
          <rPr>
            <sz val="9"/>
            <color indexed="81"/>
            <rFont val="Tahoma"/>
            <family val="2"/>
            <charset val="238"/>
          </rPr>
          <t xml:space="preserve">
2102 ro 2
+  51.518,6 úz17968 náz 1071
+875.816,2 úz17969 náz 1075</t>
        </r>
      </text>
    </comment>
    <comment ref="D484" authorId="1" shapeId="0">
      <text>
        <r>
          <rPr>
            <b/>
            <sz val="9"/>
            <color indexed="81"/>
            <rFont val="Tahoma"/>
            <family val="2"/>
            <charset val="238"/>
          </rPr>
          <t>Jana Holíková:</t>
        </r>
        <r>
          <rPr>
            <sz val="9"/>
            <color indexed="81"/>
            <rFont val="Tahoma"/>
            <family val="2"/>
            <charset val="238"/>
          </rPr>
          <t xml:space="preserve">
2103 ro11 -40.000
2103 ro24 úz33063
+169.419,91 1031
+960.046,09 1035
</t>
        </r>
      </text>
    </comment>
    <comment ref="D490" authorId="1" shapeId="0">
      <text>
        <r>
          <rPr>
            <b/>
            <sz val="9"/>
            <color indexed="81"/>
            <rFont val="Tahoma"/>
            <family val="2"/>
            <charset val="238"/>
          </rPr>
          <t>Jana Holíková:</t>
        </r>
        <r>
          <rPr>
            <sz val="9"/>
            <color indexed="81"/>
            <rFont val="Tahoma"/>
            <family val="2"/>
            <charset val="238"/>
          </rPr>
          <t xml:space="preserve">
2103 ro11 -40.000
2106 ro56 +62.300
2106 ro55 +106.000 úz133</t>
        </r>
      </text>
    </comment>
    <comment ref="D496" authorId="1" shapeId="0">
      <text>
        <r>
          <rPr>
            <b/>
            <sz val="9"/>
            <color indexed="81"/>
            <rFont val="Tahoma"/>
            <family val="2"/>
            <charset val="238"/>
          </rPr>
          <t>Jana Holíková:</t>
        </r>
        <r>
          <rPr>
            <sz val="9"/>
            <color indexed="81"/>
            <rFont val="Tahoma"/>
            <family val="2"/>
            <charset val="238"/>
          </rPr>
          <t xml:space="preserve">
2102 ro7 +25.236
2103 ro11 -100.000</t>
        </r>
      </text>
    </comment>
    <comment ref="D497" authorId="1" shapeId="0">
      <text>
        <r>
          <rPr>
            <b/>
            <sz val="9"/>
            <color indexed="81"/>
            <rFont val="Tahoma"/>
            <family val="2"/>
            <charset val="238"/>
          </rPr>
          <t>Jana Holíková:</t>
        </r>
        <r>
          <rPr>
            <sz val="9"/>
            <color indexed="81"/>
            <rFont val="Tahoma"/>
            <family val="2"/>
            <charset val="238"/>
          </rPr>
          <t xml:space="preserve">
2103 ro11 -2.000.000</t>
        </r>
      </text>
    </comment>
    <comment ref="D511" authorId="1" shapeId="0">
      <text>
        <r>
          <rPr>
            <b/>
            <sz val="9"/>
            <color indexed="81"/>
            <rFont val="Tahoma"/>
            <family val="2"/>
            <charset val="238"/>
          </rPr>
          <t>Jana Holíková:</t>
        </r>
        <r>
          <rPr>
            <sz val="9"/>
            <color indexed="81"/>
            <rFont val="Tahoma"/>
            <family val="2"/>
            <charset val="238"/>
          </rPr>
          <t xml:space="preserve">
2102 ro4 úz345
+4.123.000
2103 ro11 -250.000
2103 ro18 +830.000
2103 ro27 +100.000 NJKL
2105 ro38 -300.000 -330000
</t>
        </r>
      </text>
    </comment>
    <comment ref="D513" authorId="2" shapeId="0">
      <text>
        <r>
          <rPr>
            <b/>
            <sz val="9"/>
            <color indexed="81"/>
            <rFont val="Tahoma"/>
            <family val="2"/>
            <charset val="238"/>
          </rPr>
          <t>Jana:</t>
        </r>
        <r>
          <rPr>
            <sz val="9"/>
            <color indexed="81"/>
            <rFont val="Tahoma"/>
            <family val="2"/>
            <charset val="238"/>
          </rPr>
          <t xml:space="preserve">
2105 ro38 +330.000
2105 ro39 +8.243
2106 ro57 +32.201
</t>
        </r>
      </text>
    </comment>
    <comment ref="D514" authorId="2" shapeId="0">
      <text>
        <r>
          <rPr>
            <b/>
            <sz val="9"/>
            <color indexed="81"/>
            <rFont val="Tahoma"/>
            <family val="2"/>
            <charset val="238"/>
          </rPr>
          <t>Jana:</t>
        </r>
        <r>
          <rPr>
            <sz val="9"/>
            <color indexed="81"/>
            <rFont val="Tahoma"/>
            <family val="2"/>
            <charset val="238"/>
          </rPr>
          <t xml:space="preserve">
2106 ro57 -32.201
</t>
        </r>
      </text>
    </comment>
    <comment ref="D527" authorId="1" shapeId="0">
      <text>
        <r>
          <rPr>
            <b/>
            <sz val="9"/>
            <color indexed="81"/>
            <rFont val="Tahoma"/>
            <family val="2"/>
            <charset val="238"/>
          </rPr>
          <t>Jana Holíková:</t>
        </r>
        <r>
          <rPr>
            <sz val="9"/>
            <color indexed="81"/>
            <rFont val="Tahoma"/>
            <family val="2"/>
            <charset val="238"/>
          </rPr>
          <t xml:space="preserve">
2103 ro19 +500.000
2103 ro20 -+90.000
2103 ro21 +79.385
2103 ro22 +267.145
2103 ro23 +213.939
2106 ro60 +-49.000</t>
        </r>
      </text>
    </comment>
    <comment ref="A534" authorId="1" shapeId="0">
      <text>
        <r>
          <rPr>
            <b/>
            <sz val="9"/>
            <color indexed="81"/>
            <rFont val="Tahoma"/>
            <family val="2"/>
            <charset val="238"/>
          </rPr>
          <t>Jana Holíková:</t>
        </r>
        <r>
          <rPr>
            <sz val="9"/>
            <color indexed="81"/>
            <rFont val="Tahoma"/>
            <family val="2"/>
            <charset val="238"/>
          </rPr>
          <t xml:space="preserve">
do 2018 - § 5262
od 2019 - § 5213</t>
        </r>
      </text>
    </comment>
    <comment ref="D539" authorId="1" shapeId="0">
      <text>
        <r>
          <rPr>
            <b/>
            <sz val="9"/>
            <color indexed="81"/>
            <rFont val="Tahoma"/>
            <family val="2"/>
            <charset val="238"/>
          </rPr>
          <t>Jana Holíková:</t>
        </r>
        <r>
          <rPr>
            <sz val="9"/>
            <color indexed="81"/>
            <rFont val="Tahoma"/>
            <family val="2"/>
            <charset val="238"/>
          </rPr>
          <t xml:space="preserve">
2103 ro11 -400.000</t>
        </r>
      </text>
    </comment>
    <comment ref="D542" authorId="2" shapeId="0">
      <text>
        <r>
          <rPr>
            <b/>
            <sz val="9"/>
            <color indexed="81"/>
            <rFont val="Tahoma"/>
            <family val="2"/>
            <charset val="238"/>
          </rPr>
          <t>Jana:</t>
        </r>
        <r>
          <rPr>
            <sz val="9"/>
            <color indexed="81"/>
            <rFont val="Tahoma"/>
            <family val="2"/>
            <charset val="238"/>
          </rPr>
          <t xml:space="preserve">
2104 ro31 úz13013
+  59.625  1041
+506.812,5 1045</t>
        </r>
      </text>
    </comment>
    <comment ref="D546" authorId="2" shapeId="0">
      <text>
        <r>
          <rPr>
            <b/>
            <sz val="9"/>
            <color indexed="81"/>
            <rFont val="Tahoma"/>
            <family val="2"/>
            <charset val="238"/>
          </rPr>
          <t>Jana:</t>
        </r>
        <r>
          <rPr>
            <sz val="9"/>
            <color indexed="81"/>
            <rFont val="Tahoma"/>
            <family val="2"/>
            <charset val="238"/>
          </rPr>
          <t xml:space="preserve">
2105 ro44 +-100.300</t>
        </r>
      </text>
    </comment>
    <comment ref="D550" authorId="1" shapeId="0">
      <text>
        <r>
          <rPr>
            <b/>
            <sz val="9"/>
            <color indexed="81"/>
            <rFont val="Tahoma"/>
            <family val="2"/>
            <charset val="238"/>
          </rPr>
          <t>Jana Holíková:</t>
        </r>
        <r>
          <rPr>
            <sz val="9"/>
            <color indexed="81"/>
            <rFont val="Tahoma"/>
            <family val="2"/>
            <charset val="238"/>
          </rPr>
          <t xml:space="preserve">
2103 ro18 +2.095.129</t>
        </r>
      </text>
    </comment>
    <comment ref="D553" authorId="1" shapeId="0">
      <text>
        <r>
          <rPr>
            <b/>
            <sz val="9"/>
            <color indexed="81"/>
            <rFont val="Tahoma"/>
            <family val="2"/>
            <charset val="238"/>
          </rPr>
          <t>Jana Holíková:</t>
        </r>
        <r>
          <rPr>
            <sz val="9"/>
            <color indexed="81"/>
            <rFont val="Tahoma"/>
            <family val="2"/>
            <charset val="238"/>
          </rPr>
          <t xml:space="preserve">
2103 ro11 -490.000
2105 ro43 
-1.137.306 +1.211.186
2106 ro53 +91.988</t>
        </r>
      </text>
    </comment>
    <comment ref="D554" authorId="2" shapeId="0">
      <text>
        <r>
          <rPr>
            <b/>
            <sz val="9"/>
            <color indexed="81"/>
            <rFont val="Tahoma"/>
            <family val="2"/>
            <charset val="238"/>
          </rPr>
          <t>Jana:</t>
        </r>
        <r>
          <rPr>
            <sz val="9"/>
            <color indexed="81"/>
            <rFont val="Tahoma"/>
            <family val="2"/>
            <charset val="238"/>
          </rPr>
          <t xml:space="preserve">
2105 ro44 +-3.467.650</t>
        </r>
      </text>
    </comment>
    <comment ref="D555" authorId="2" shapeId="0">
      <text>
        <r>
          <rPr>
            <b/>
            <sz val="9"/>
            <color indexed="81"/>
            <rFont val="Tahoma"/>
            <family val="2"/>
            <charset val="238"/>
          </rPr>
          <t>Jana:</t>
        </r>
        <r>
          <rPr>
            <sz val="9"/>
            <color indexed="81"/>
            <rFont val="Tahoma"/>
            <family val="2"/>
            <charset val="238"/>
          </rPr>
          <t xml:space="preserve">
2105 ro44 +-3.467.650</t>
        </r>
      </text>
    </comment>
    <comment ref="D565" authorId="2" shapeId="0">
      <text>
        <r>
          <rPr>
            <b/>
            <sz val="9"/>
            <color indexed="81"/>
            <rFont val="Tahoma"/>
            <family val="2"/>
            <charset val="238"/>
          </rPr>
          <t>Jana:</t>
        </r>
        <r>
          <rPr>
            <sz val="9"/>
            <color indexed="81"/>
            <rFont val="Tahoma"/>
            <family val="2"/>
            <charset val="238"/>
          </rPr>
          <t xml:space="preserve">
2105 ro44 +-5.000</t>
        </r>
      </text>
    </comment>
    <comment ref="D566" authorId="1" shapeId="0">
      <text>
        <r>
          <rPr>
            <b/>
            <sz val="9"/>
            <color indexed="81"/>
            <rFont val="Tahoma"/>
            <family val="2"/>
            <charset val="238"/>
          </rPr>
          <t>Jana Holíková:</t>
        </r>
        <r>
          <rPr>
            <sz val="9"/>
            <color indexed="81"/>
            <rFont val="Tahoma"/>
            <family val="2"/>
            <charset val="238"/>
          </rPr>
          <t xml:space="preserve">
2103 ro28 +50.000</t>
        </r>
      </text>
    </comment>
    <comment ref="D572" authorId="1" shapeId="0">
      <text>
        <r>
          <rPr>
            <b/>
            <sz val="9"/>
            <color indexed="81"/>
            <rFont val="Tahoma"/>
            <family val="2"/>
            <charset val="238"/>
          </rPr>
          <t>Jana Holíková:</t>
        </r>
        <r>
          <rPr>
            <sz val="9"/>
            <color indexed="81"/>
            <rFont val="Tahoma"/>
            <family val="2"/>
            <charset val="238"/>
          </rPr>
          <t xml:space="preserve">
2103 ro11 -100.000</t>
        </r>
      </text>
    </comment>
    <comment ref="D591" authorId="1" shapeId="0">
      <text>
        <r>
          <rPr>
            <b/>
            <sz val="9"/>
            <color indexed="81"/>
            <rFont val="Tahoma"/>
            <family val="2"/>
            <charset val="238"/>
          </rPr>
          <t>Jana Holíková:</t>
        </r>
        <r>
          <rPr>
            <sz val="9"/>
            <color indexed="81"/>
            <rFont val="Tahoma"/>
            <family val="2"/>
            <charset val="238"/>
          </rPr>
          <t xml:space="preserve">
2103 ro26 -12.000
2104 ro34 -15.000
2105 ro49 -10.000</t>
        </r>
      </text>
    </comment>
    <comment ref="D594" authorId="1" shapeId="0">
      <text>
        <r>
          <rPr>
            <b/>
            <sz val="9"/>
            <color indexed="81"/>
            <rFont val="Tahoma"/>
            <family val="2"/>
            <charset val="238"/>
          </rPr>
          <t>Jana Holíková:</t>
        </r>
        <r>
          <rPr>
            <sz val="9"/>
            <color indexed="81"/>
            <rFont val="Tahoma"/>
            <family val="2"/>
            <charset val="238"/>
          </rPr>
          <t xml:space="preserve">
2103 ro26 +12.000
2104 ro34 +15.000
2105 ro49 +10.000</t>
        </r>
      </text>
    </comment>
    <comment ref="D598" authorId="2" shapeId="0">
      <text>
        <r>
          <rPr>
            <b/>
            <sz val="9"/>
            <color indexed="81"/>
            <rFont val="Tahoma"/>
            <family val="2"/>
            <charset val="238"/>
          </rPr>
          <t>Jana:</t>
        </r>
        <r>
          <rPr>
            <sz val="9"/>
            <color indexed="81"/>
            <rFont val="Tahoma"/>
            <family val="2"/>
            <charset val="238"/>
          </rPr>
          <t xml:space="preserve">
2104 ro35 
+541.000  0390
+2.820.000 2390
2105 ro40 +635.148
2106 ro59
+1.500 úz13305
-1.500 bez úz</t>
        </r>
      </text>
    </comment>
    <comment ref="D599" authorId="2" shapeId="0">
      <text>
        <r>
          <rPr>
            <b/>
            <sz val="9"/>
            <color indexed="81"/>
            <rFont val="Tahoma"/>
            <family val="2"/>
            <charset val="238"/>
          </rPr>
          <t>Jana:</t>
        </r>
        <r>
          <rPr>
            <sz val="9"/>
            <color indexed="81"/>
            <rFont val="Tahoma"/>
            <family val="2"/>
            <charset val="238"/>
          </rPr>
          <t xml:space="preserve">
2104 ro35
+190.000  1391
+550.000  2391
2105 ro40 +164.975</t>
        </r>
      </text>
    </comment>
    <comment ref="D600" authorId="2" shapeId="0">
      <text>
        <r>
          <rPr>
            <b/>
            <sz val="9"/>
            <color indexed="81"/>
            <rFont val="Tahoma"/>
            <family val="2"/>
            <charset val="238"/>
          </rPr>
          <t>Jana:</t>
        </r>
        <r>
          <rPr>
            <sz val="9"/>
            <color indexed="81"/>
            <rFont val="Tahoma"/>
            <family val="2"/>
            <charset val="238"/>
          </rPr>
          <t xml:space="preserve">
2104 ro35 
+1.483.000  2393
2105 ro40 +595.143</t>
        </r>
      </text>
    </comment>
    <comment ref="D609" authorId="2" shapeId="0">
      <text>
        <r>
          <rPr>
            <b/>
            <sz val="9"/>
            <color indexed="81"/>
            <rFont val="Tahoma"/>
            <family val="2"/>
            <charset val="238"/>
          </rPr>
          <t>Jana:</t>
        </r>
        <r>
          <rPr>
            <sz val="9"/>
            <color indexed="81"/>
            <rFont val="Tahoma"/>
            <family val="2"/>
            <charset val="238"/>
          </rPr>
          <t xml:space="preserve">
2105 ro37 +84.350</t>
        </r>
      </text>
    </comment>
    <comment ref="D612" authorId="2" shapeId="0">
      <text>
        <r>
          <rPr>
            <b/>
            <sz val="9"/>
            <color indexed="81"/>
            <rFont val="Tahoma"/>
            <family val="2"/>
            <charset val="238"/>
          </rPr>
          <t>Jana:</t>
        </r>
        <r>
          <rPr>
            <sz val="9"/>
            <color indexed="81"/>
            <rFont val="Tahoma"/>
            <family val="2"/>
            <charset val="238"/>
          </rPr>
          <t xml:space="preserve">
2105 ro37 +120.100</t>
        </r>
      </text>
    </comment>
    <comment ref="D620" authorId="2" shapeId="0">
      <text>
        <r>
          <rPr>
            <b/>
            <sz val="9"/>
            <color indexed="81"/>
            <rFont val="Tahoma"/>
            <family val="2"/>
            <charset val="238"/>
          </rPr>
          <t>Jana:</t>
        </r>
        <r>
          <rPr>
            <sz val="9"/>
            <color indexed="81"/>
            <rFont val="Tahoma"/>
            <family val="2"/>
            <charset val="238"/>
          </rPr>
          <t xml:space="preserve">
2104 ro30 +234.740
2105 ro37 +107.900</t>
        </r>
      </text>
    </comment>
    <comment ref="D622" authorId="2" shapeId="0">
      <text>
        <r>
          <rPr>
            <b/>
            <sz val="9"/>
            <color indexed="81"/>
            <rFont val="Tahoma"/>
            <family val="2"/>
            <charset val="238"/>
          </rPr>
          <t>Jana:</t>
        </r>
        <r>
          <rPr>
            <sz val="9"/>
            <color indexed="81"/>
            <rFont val="Tahoma"/>
            <family val="2"/>
            <charset val="238"/>
          </rPr>
          <t xml:space="preserve">
2104 ro30 -234.740</t>
        </r>
      </text>
    </comment>
    <comment ref="D625" authorId="2" shapeId="0">
      <text>
        <r>
          <rPr>
            <b/>
            <sz val="9"/>
            <color indexed="81"/>
            <rFont val="Tahoma"/>
            <family val="2"/>
            <charset val="238"/>
          </rPr>
          <t>Jana:</t>
        </r>
        <r>
          <rPr>
            <sz val="9"/>
            <color indexed="81"/>
            <rFont val="Tahoma"/>
            <family val="2"/>
            <charset val="238"/>
          </rPr>
          <t xml:space="preserve">
2106 ro52 +150.000</t>
        </r>
      </text>
    </comment>
    <comment ref="D626" authorId="2" shapeId="0">
      <text>
        <r>
          <rPr>
            <b/>
            <sz val="9"/>
            <color indexed="81"/>
            <rFont val="Tahoma"/>
            <family val="2"/>
            <charset val="238"/>
          </rPr>
          <t>Jana:</t>
        </r>
        <r>
          <rPr>
            <sz val="9"/>
            <color indexed="81"/>
            <rFont val="Tahoma"/>
            <family val="2"/>
            <charset val="238"/>
          </rPr>
          <t xml:space="preserve">
2106 ro52 +150.000</t>
        </r>
      </text>
    </comment>
    <comment ref="D633" authorId="1" shapeId="0">
      <text>
        <r>
          <rPr>
            <b/>
            <sz val="9"/>
            <color indexed="81"/>
            <rFont val="Tahoma"/>
            <family val="2"/>
            <charset val="238"/>
          </rPr>
          <t>Jana Holíková:</t>
        </r>
        <r>
          <rPr>
            <sz val="9"/>
            <color indexed="81"/>
            <rFont val="Tahoma"/>
            <family val="2"/>
            <charset val="238"/>
          </rPr>
          <t xml:space="preserve">
2103 ro17 -1.100.000</t>
        </r>
      </text>
    </comment>
    <comment ref="D636" authorId="2" shapeId="0">
      <text>
        <r>
          <rPr>
            <b/>
            <sz val="9"/>
            <color indexed="81"/>
            <rFont val="Tahoma"/>
            <family val="2"/>
            <charset val="238"/>
          </rPr>
          <t>Jana:</t>
        </r>
        <r>
          <rPr>
            <sz val="9"/>
            <color indexed="81"/>
            <rFont val="Tahoma"/>
            <family val="2"/>
            <charset val="238"/>
          </rPr>
          <t xml:space="preserve">
2100406 -6.600</t>
        </r>
      </text>
    </comment>
    <comment ref="D638" authorId="1" shapeId="0">
      <text>
        <r>
          <rPr>
            <b/>
            <sz val="9"/>
            <color indexed="81"/>
            <rFont val="Tahoma"/>
            <family val="2"/>
            <charset val="238"/>
          </rPr>
          <t>Jana Holíková:</t>
        </r>
        <r>
          <rPr>
            <sz val="9"/>
            <color indexed="81"/>
            <rFont val="Tahoma"/>
            <family val="2"/>
            <charset val="238"/>
          </rPr>
          <t xml:space="preserve">
2103 ro11 -100.000</t>
        </r>
      </text>
    </comment>
    <comment ref="D639" authorId="1" shapeId="0">
      <text>
        <r>
          <rPr>
            <b/>
            <sz val="9"/>
            <color indexed="81"/>
            <rFont val="Tahoma"/>
            <family val="2"/>
            <charset val="238"/>
          </rPr>
          <t>Jana Holíková:</t>
        </r>
        <r>
          <rPr>
            <sz val="9"/>
            <color indexed="81"/>
            <rFont val="Tahoma"/>
            <family val="2"/>
            <charset val="238"/>
          </rPr>
          <t xml:space="preserve">
2103 ro11 -400.000</t>
        </r>
      </text>
    </comment>
    <comment ref="D641" authorId="1" shapeId="0">
      <text>
        <r>
          <rPr>
            <b/>
            <sz val="9"/>
            <color indexed="81"/>
            <rFont val="Tahoma"/>
            <family val="2"/>
            <charset val="238"/>
          </rPr>
          <t>Jana Holíková:</t>
        </r>
        <r>
          <rPr>
            <sz val="9"/>
            <color indexed="81"/>
            <rFont val="Tahoma"/>
            <family val="2"/>
            <charset val="238"/>
          </rPr>
          <t xml:space="preserve">
2103 ro17 -1.142.000
210406 +6.600</t>
        </r>
      </text>
    </comment>
    <comment ref="D646" authorId="1" shapeId="0">
      <text>
        <r>
          <rPr>
            <b/>
            <sz val="9"/>
            <color indexed="81"/>
            <rFont val="Tahoma"/>
            <family val="2"/>
            <charset val="238"/>
          </rPr>
          <t>Jana Holíková:</t>
        </r>
        <r>
          <rPr>
            <sz val="9"/>
            <color indexed="81"/>
            <rFont val="Tahoma"/>
            <family val="2"/>
            <charset val="238"/>
          </rPr>
          <t xml:space="preserve">
2103 ro17 -600.000</t>
        </r>
      </text>
    </comment>
    <comment ref="D648" authorId="1" shapeId="0">
      <text>
        <r>
          <rPr>
            <b/>
            <sz val="9"/>
            <color indexed="81"/>
            <rFont val="Tahoma"/>
            <family val="2"/>
            <charset val="238"/>
          </rPr>
          <t>Jana Holíková:</t>
        </r>
        <r>
          <rPr>
            <sz val="9"/>
            <color indexed="81"/>
            <rFont val="Tahoma"/>
            <family val="2"/>
            <charset val="238"/>
          </rPr>
          <t xml:space="preserve">
2103 ro17 -850.000</t>
        </r>
      </text>
    </comment>
    <comment ref="D652" authorId="1" shapeId="0">
      <text>
        <r>
          <rPr>
            <b/>
            <sz val="9"/>
            <color indexed="81"/>
            <rFont val="Tahoma"/>
            <family val="2"/>
            <charset val="238"/>
          </rPr>
          <t>Jana Holíková:</t>
        </r>
        <r>
          <rPr>
            <sz val="9"/>
            <color indexed="81"/>
            <rFont val="Tahoma"/>
            <family val="2"/>
            <charset val="238"/>
          </rPr>
          <t xml:space="preserve">
2103 ro17 -700.000</t>
        </r>
      </text>
    </comment>
    <comment ref="D653" authorId="1" shapeId="0">
      <text>
        <r>
          <rPr>
            <b/>
            <sz val="9"/>
            <color indexed="81"/>
            <rFont val="Tahoma"/>
            <family val="2"/>
            <charset val="238"/>
          </rPr>
          <t>Jana Holíková:</t>
        </r>
        <r>
          <rPr>
            <sz val="9"/>
            <color indexed="81"/>
            <rFont val="Tahoma"/>
            <family val="2"/>
            <charset val="238"/>
          </rPr>
          <t xml:space="preserve">
2103 ro11 -600.000</t>
        </r>
      </text>
    </comment>
    <comment ref="D658" authorId="2" shapeId="0">
      <text>
        <r>
          <rPr>
            <b/>
            <sz val="9"/>
            <color indexed="81"/>
            <rFont val="Tahoma"/>
            <family val="2"/>
            <charset val="238"/>
          </rPr>
          <t>Jana:</t>
        </r>
        <r>
          <rPr>
            <sz val="9"/>
            <color indexed="81"/>
            <rFont val="Tahoma"/>
            <family val="2"/>
            <charset val="238"/>
          </rPr>
          <t xml:space="preserve">
2103 ro11 +15.000.000
2103 ro17 -     501.540
2105 ro48 -1.200.000</t>
        </r>
      </text>
    </comment>
    <comment ref="D660" authorId="1" shapeId="0">
      <text>
        <r>
          <rPr>
            <b/>
            <sz val="9"/>
            <color indexed="81"/>
            <rFont val="Tahoma"/>
            <family val="2"/>
            <charset val="238"/>
          </rPr>
          <t>Jana Holíková:</t>
        </r>
        <r>
          <rPr>
            <sz val="9"/>
            <color indexed="81"/>
            <rFont val="Tahoma"/>
            <family val="2"/>
            <charset val="238"/>
          </rPr>
          <t xml:space="preserve">
2103 ro17 +850.000</t>
        </r>
      </text>
    </comment>
    <comment ref="D663" authorId="1" shapeId="0">
      <text>
        <r>
          <rPr>
            <b/>
            <sz val="9"/>
            <color indexed="81"/>
            <rFont val="Tahoma"/>
            <family val="2"/>
            <charset val="238"/>
          </rPr>
          <t>Jana Holíková:</t>
        </r>
        <r>
          <rPr>
            <sz val="9"/>
            <color indexed="81"/>
            <rFont val="Tahoma"/>
            <family val="2"/>
            <charset val="238"/>
          </rPr>
          <t xml:space="preserve">
2103 ro11 -1.000.000
2103 ro11 -2.500.000
2105 ro46 +3.500.000</t>
        </r>
      </text>
    </comment>
    <comment ref="D669" authorId="1" shapeId="0">
      <text>
        <r>
          <rPr>
            <b/>
            <sz val="9"/>
            <color indexed="81"/>
            <rFont val="Tahoma"/>
            <family val="2"/>
            <charset val="238"/>
          </rPr>
          <t>Jana Holíková:</t>
        </r>
        <r>
          <rPr>
            <sz val="9"/>
            <color indexed="81"/>
            <rFont val="Tahoma"/>
            <family val="2"/>
            <charset val="238"/>
          </rPr>
          <t xml:space="preserve">
2103 -900.000</t>
        </r>
      </text>
    </comment>
    <comment ref="D680" authorId="1" shapeId="0">
      <text>
        <r>
          <rPr>
            <b/>
            <sz val="9"/>
            <color indexed="81"/>
            <rFont val="Tahoma"/>
            <family val="2"/>
            <charset val="238"/>
          </rPr>
          <t>Jana Holíková:</t>
        </r>
        <r>
          <rPr>
            <sz val="9"/>
            <color indexed="81"/>
            <rFont val="Tahoma"/>
            <family val="2"/>
            <charset val="238"/>
          </rPr>
          <t xml:space="preserve">
2103 ro17 -500.000</t>
        </r>
      </text>
    </comment>
    <comment ref="D693" authorId="1" shapeId="0">
      <text>
        <r>
          <rPr>
            <b/>
            <sz val="9"/>
            <color indexed="81"/>
            <rFont val="Tahoma"/>
            <family val="2"/>
            <charset val="238"/>
          </rPr>
          <t>Jana Holíková:</t>
        </r>
        <r>
          <rPr>
            <sz val="9"/>
            <color indexed="81"/>
            <rFont val="Tahoma"/>
            <family val="2"/>
            <charset val="238"/>
          </rPr>
          <t xml:space="preserve">
2103 ro14 -100.000</t>
        </r>
      </text>
    </comment>
    <comment ref="D694" authorId="1" shapeId="0">
      <text>
        <r>
          <rPr>
            <b/>
            <sz val="9"/>
            <color indexed="81"/>
            <rFont val="Tahoma"/>
            <family val="2"/>
            <charset val="238"/>
          </rPr>
          <t>Jana Holíková:</t>
        </r>
        <r>
          <rPr>
            <sz val="9"/>
            <color indexed="81"/>
            <rFont val="Tahoma"/>
            <family val="2"/>
            <charset val="238"/>
          </rPr>
          <t xml:space="preserve">
2103 ro11 -2.300.000</t>
        </r>
      </text>
    </comment>
    <comment ref="D696" authorId="2" shapeId="0">
      <text>
        <r>
          <rPr>
            <b/>
            <sz val="9"/>
            <color indexed="81"/>
            <rFont val="Tahoma"/>
            <family val="2"/>
            <charset val="238"/>
          </rPr>
          <t>Jana:</t>
        </r>
        <r>
          <rPr>
            <sz val="9"/>
            <color indexed="81"/>
            <rFont val="Tahoma"/>
            <family val="2"/>
            <charset val="238"/>
          </rPr>
          <t xml:space="preserve">
2105 ro48 
+6.000.000 +3.200.000
-2.000.000</t>
        </r>
      </text>
    </comment>
    <comment ref="D697" authorId="1" shapeId="0">
      <text>
        <r>
          <rPr>
            <b/>
            <sz val="9"/>
            <color indexed="81"/>
            <rFont val="Tahoma"/>
            <family val="2"/>
            <charset val="238"/>
          </rPr>
          <t>Jana Holíková:</t>
        </r>
        <r>
          <rPr>
            <sz val="9"/>
            <color indexed="81"/>
            <rFont val="Tahoma"/>
            <family val="2"/>
            <charset val="238"/>
          </rPr>
          <t xml:space="preserve">
2103 ro11 -600.000</t>
        </r>
      </text>
    </comment>
    <comment ref="D712" authorId="2" shapeId="0">
      <text>
        <r>
          <rPr>
            <b/>
            <sz val="9"/>
            <color indexed="81"/>
            <rFont val="Tahoma"/>
            <family val="2"/>
            <charset val="238"/>
          </rPr>
          <t>Jana:</t>
        </r>
        <r>
          <rPr>
            <sz val="9"/>
            <color indexed="81"/>
            <rFont val="Tahoma"/>
            <family val="2"/>
            <charset val="238"/>
          </rPr>
          <t xml:space="preserve">
2105 ro37 +10.700</t>
        </r>
      </text>
    </comment>
    <comment ref="D716" authorId="1" shapeId="0">
      <text>
        <r>
          <rPr>
            <b/>
            <sz val="9"/>
            <color indexed="81"/>
            <rFont val="Tahoma"/>
            <family val="2"/>
            <charset val="238"/>
          </rPr>
          <t>Jana Holíková:</t>
        </r>
        <r>
          <rPr>
            <sz val="9"/>
            <color indexed="81"/>
            <rFont val="Tahoma"/>
            <family val="2"/>
            <charset val="238"/>
          </rPr>
          <t xml:space="preserve">
2103 ro14 +48.594,03</t>
        </r>
      </text>
    </comment>
    <comment ref="D722" authorId="1" shapeId="0">
      <text>
        <r>
          <rPr>
            <b/>
            <sz val="9"/>
            <color indexed="81"/>
            <rFont val="Tahoma"/>
            <family val="2"/>
            <charset val="238"/>
          </rPr>
          <t>Jana Holíková:</t>
        </r>
        <r>
          <rPr>
            <sz val="9"/>
            <color indexed="81"/>
            <rFont val="Tahoma"/>
            <family val="2"/>
            <charset val="238"/>
          </rPr>
          <t xml:space="preserve">
2103 ro17 -400.000</t>
        </r>
      </text>
    </comment>
    <comment ref="D728" authorId="1" shapeId="0">
      <text>
        <r>
          <rPr>
            <b/>
            <sz val="9"/>
            <color indexed="81"/>
            <rFont val="Tahoma"/>
            <family val="2"/>
            <charset val="238"/>
          </rPr>
          <t>Jana Holíková:</t>
        </r>
        <r>
          <rPr>
            <sz val="9"/>
            <color indexed="81"/>
            <rFont val="Tahoma"/>
            <family val="2"/>
            <charset val="238"/>
          </rPr>
          <t xml:space="preserve">
2103 ro17 -300.000</t>
        </r>
      </text>
    </comment>
    <comment ref="D734" authorId="2" shapeId="0">
      <text>
        <r>
          <rPr>
            <b/>
            <sz val="9"/>
            <color indexed="81"/>
            <rFont val="Tahoma"/>
            <family val="2"/>
            <charset val="238"/>
          </rPr>
          <t>Jana:</t>
        </r>
        <r>
          <rPr>
            <sz val="9"/>
            <color indexed="81"/>
            <rFont val="Tahoma"/>
            <family val="2"/>
            <charset val="238"/>
          </rPr>
          <t xml:space="preserve">
2105 ro46 +350.000
</t>
        </r>
      </text>
    </comment>
    <comment ref="D749" authorId="1" shapeId="0">
      <text>
        <r>
          <rPr>
            <b/>
            <sz val="9"/>
            <color indexed="81"/>
            <rFont val="Tahoma"/>
            <family val="2"/>
            <charset val="238"/>
          </rPr>
          <t>Jana Holíková:</t>
        </r>
        <r>
          <rPr>
            <sz val="9"/>
            <color indexed="81"/>
            <rFont val="Tahoma"/>
            <family val="2"/>
            <charset val="238"/>
          </rPr>
          <t xml:space="preserve">
2103 ro17 -4.750.000
2105 ro45 +1.450.000</t>
        </r>
      </text>
    </comment>
    <comment ref="D750" authorId="1" shapeId="0">
      <text>
        <r>
          <rPr>
            <b/>
            <sz val="9"/>
            <color indexed="81"/>
            <rFont val="Tahoma"/>
            <family val="2"/>
            <charset val="238"/>
          </rPr>
          <t>Jana Holíková:</t>
        </r>
        <r>
          <rPr>
            <sz val="9"/>
            <color indexed="81"/>
            <rFont val="Tahoma"/>
            <family val="2"/>
            <charset val="238"/>
          </rPr>
          <t xml:space="preserve">
2103 ro17 -3.300.000</t>
        </r>
      </text>
    </comment>
    <comment ref="D753" authorId="1" shapeId="0">
      <text>
        <r>
          <rPr>
            <b/>
            <sz val="9"/>
            <color indexed="81"/>
            <rFont val="Tahoma"/>
            <family val="2"/>
            <charset val="238"/>
          </rPr>
          <t>Jana Holíková:</t>
        </r>
        <r>
          <rPr>
            <sz val="9"/>
            <color indexed="81"/>
            <rFont val="Tahoma"/>
            <family val="2"/>
            <charset val="238"/>
          </rPr>
          <t xml:space="preserve">
2103 ro17 -2.000.000</t>
        </r>
      </text>
    </comment>
    <comment ref="D754" authorId="2" shapeId="0">
      <text>
        <r>
          <rPr>
            <b/>
            <sz val="9"/>
            <color indexed="81"/>
            <rFont val="Tahoma"/>
            <family val="2"/>
            <charset val="238"/>
          </rPr>
          <t>Jana:</t>
        </r>
        <r>
          <rPr>
            <sz val="9"/>
            <color indexed="81"/>
            <rFont val="Tahoma"/>
            <family val="2"/>
            <charset val="238"/>
          </rPr>
          <t xml:space="preserve">
2105 ro46 -2.000.000</t>
        </r>
      </text>
    </comment>
    <comment ref="D755" authorId="2" shapeId="0">
      <text>
        <r>
          <rPr>
            <b/>
            <sz val="9"/>
            <color indexed="81"/>
            <rFont val="Tahoma"/>
            <family val="2"/>
            <charset val="238"/>
          </rPr>
          <t>Jana:</t>
        </r>
        <r>
          <rPr>
            <sz val="9"/>
            <color indexed="81"/>
            <rFont val="Tahoma"/>
            <family val="2"/>
            <charset val="238"/>
          </rPr>
          <t xml:space="preserve">
2105 ro46 -1.250.000</t>
        </r>
      </text>
    </comment>
    <comment ref="D756" authorId="2" shapeId="0">
      <text>
        <r>
          <rPr>
            <b/>
            <sz val="9"/>
            <color indexed="81"/>
            <rFont val="Tahoma"/>
            <family val="2"/>
            <charset val="238"/>
          </rPr>
          <t>Jana:</t>
        </r>
        <r>
          <rPr>
            <sz val="9"/>
            <color indexed="81"/>
            <rFont val="Tahoma"/>
            <family val="2"/>
            <charset val="238"/>
          </rPr>
          <t xml:space="preserve">
2105 ro46 -600.000</t>
        </r>
      </text>
    </comment>
    <comment ref="D764" authorId="2" shapeId="0">
      <text>
        <r>
          <rPr>
            <b/>
            <sz val="9"/>
            <color indexed="81"/>
            <rFont val="Tahoma"/>
            <family val="2"/>
            <charset val="238"/>
          </rPr>
          <t>Jana:</t>
        </r>
        <r>
          <rPr>
            <sz val="9"/>
            <color indexed="81"/>
            <rFont val="Tahoma"/>
            <family val="2"/>
            <charset val="238"/>
          </rPr>
          <t xml:space="preserve">
2105 ro45 -1.450.000</t>
        </r>
      </text>
    </comment>
    <comment ref="D782" authorId="1" shapeId="0">
      <text>
        <r>
          <rPr>
            <b/>
            <sz val="9"/>
            <color indexed="81"/>
            <rFont val="Tahoma"/>
            <family val="2"/>
            <charset val="238"/>
          </rPr>
          <t>Jana Holíková:</t>
        </r>
        <r>
          <rPr>
            <sz val="9"/>
            <color indexed="81"/>
            <rFont val="Tahoma"/>
            <family val="2"/>
            <charset val="238"/>
          </rPr>
          <t xml:space="preserve">
2102 ro5
+11.654,14
</t>
        </r>
      </text>
    </comment>
    <comment ref="D783" authorId="1" shapeId="0">
      <text>
        <r>
          <rPr>
            <b/>
            <sz val="9"/>
            <color indexed="81"/>
            <rFont val="Tahoma"/>
            <family val="2"/>
            <charset val="238"/>
          </rPr>
          <t>Jana Holíková:</t>
        </r>
        <r>
          <rPr>
            <sz val="9"/>
            <color indexed="81"/>
            <rFont val="Tahoma"/>
            <family val="2"/>
            <charset val="238"/>
          </rPr>
          <t xml:space="preserve">
2103 ro11 -131.390</t>
        </r>
      </text>
    </comment>
    <comment ref="D785" authorId="1" shapeId="0">
      <text>
        <r>
          <rPr>
            <b/>
            <sz val="9"/>
            <color indexed="81"/>
            <rFont val="Tahoma"/>
            <family val="2"/>
            <charset val="238"/>
          </rPr>
          <t>Jana Holíková:</t>
        </r>
        <r>
          <rPr>
            <sz val="9"/>
            <color indexed="81"/>
            <rFont val="Tahoma"/>
            <family val="2"/>
            <charset val="238"/>
          </rPr>
          <t xml:space="preserve">
2103 ro15 +133.612</t>
        </r>
      </text>
    </comment>
    <comment ref="D789" authorId="2" shapeId="0">
      <text>
        <r>
          <rPr>
            <b/>
            <sz val="9"/>
            <color indexed="81"/>
            <rFont val="Tahoma"/>
            <family val="2"/>
            <charset val="238"/>
          </rPr>
          <t>Jana:</t>
        </r>
        <r>
          <rPr>
            <sz val="9"/>
            <color indexed="81"/>
            <rFont val="Tahoma"/>
            <family val="2"/>
            <charset val="238"/>
          </rPr>
          <t xml:space="preserve">
2105 ro47 -1.962.450</t>
        </r>
      </text>
    </comment>
    <comment ref="D792" authorId="2" shapeId="0">
      <text>
        <r>
          <rPr>
            <b/>
            <sz val="9"/>
            <color indexed="81"/>
            <rFont val="Tahoma"/>
            <family val="2"/>
            <charset val="238"/>
          </rPr>
          <t>Jana:</t>
        </r>
        <r>
          <rPr>
            <sz val="9"/>
            <color indexed="81"/>
            <rFont val="Tahoma"/>
            <family val="2"/>
            <charset val="238"/>
          </rPr>
          <t xml:space="preserve">
2106 ro58 +16.912
</t>
        </r>
      </text>
    </comment>
    <comment ref="D793" authorId="1" shapeId="0">
      <text>
        <r>
          <rPr>
            <b/>
            <sz val="9"/>
            <color indexed="81"/>
            <rFont val="Tahoma"/>
            <family val="2"/>
            <charset val="238"/>
          </rPr>
          <t>Jana Holíková:</t>
        </r>
        <r>
          <rPr>
            <sz val="9"/>
            <color indexed="81"/>
            <rFont val="Tahoma"/>
            <family val="2"/>
            <charset val="238"/>
          </rPr>
          <t xml:space="preserve">
2102 ro8 +5.719</t>
        </r>
      </text>
    </comment>
    <comment ref="D794" authorId="1" shapeId="0">
      <text>
        <r>
          <rPr>
            <b/>
            <sz val="9"/>
            <color indexed="81"/>
            <rFont val="Tahoma"/>
            <family val="2"/>
            <charset val="238"/>
          </rPr>
          <t>Jana Holíková:</t>
        </r>
        <r>
          <rPr>
            <sz val="9"/>
            <color indexed="81"/>
            <rFont val="Tahoma"/>
            <family val="2"/>
            <charset val="238"/>
          </rPr>
          <t xml:space="preserve">
2103 ro16 +14.168,64</t>
        </r>
      </text>
    </comment>
    <comment ref="D796" authorId="1" shapeId="0">
      <text>
        <r>
          <rPr>
            <b/>
            <sz val="9"/>
            <color indexed="81"/>
            <rFont val="Tahoma"/>
            <family val="2"/>
            <charset val="238"/>
          </rPr>
          <t>Jana Holíková:</t>
        </r>
        <r>
          <rPr>
            <sz val="9"/>
            <color indexed="81"/>
            <rFont val="Tahoma"/>
            <family val="2"/>
            <charset val="238"/>
          </rPr>
          <t xml:space="preserve">
2102 ro5 +1.037.625,27
2102 ro6 +         800
2102 ro8 -       5.719
2102 ro9 +2.888.353,24
2102 ro10 -  133.544,53
2103 ro11 +240.528,48
2103 ro12 -263.145,58
2103 RO14 +51.405,97
2103 ro15 -133.612
2103 ro16 -74.168,64
2103 ro17 +2.168.620
2103 ro19 -500.000 
2103 ro21 -79.385
2103 ro22 -267.145
2103 ro23 -213.939
2103 ro25 -2.000.000
2103 ro27 -100.000-100.000
2103 ro28 -50.000-50.000
2104 ro29 +1.380
2104 ro32 +84.689,93
2104 ro33 +1.267
2104 ro28 opr +150.000
2105 ro37 -500.000
2105 ro38 
+2.000.000 +1.000.000 +300.000
2105 ro41 +8.000.000
2105 ro42 +1.026.933,11
2106 ro54 +167.860
2106 ro51 +1.785.909,91</t>
        </r>
      </text>
    </comment>
  </commentList>
</comments>
</file>

<file path=xl/comments2.xml><?xml version="1.0" encoding="utf-8"?>
<comments xmlns="http://schemas.openxmlformats.org/spreadsheetml/2006/main">
  <authors>
    <author>Ing. Jana Holíková</author>
    <author>Jana Holíková</author>
    <author>Jana</author>
  </authors>
  <commentList>
    <comment ref="J11" authorId="0" shapeId="0">
      <text>
        <r>
          <rPr>
            <b/>
            <sz val="9"/>
            <color indexed="81"/>
            <rFont val="Tahoma"/>
            <family val="2"/>
            <charset val="238"/>
          </rPr>
          <t>Ing. Jana Holíková:</t>
        </r>
        <r>
          <rPr>
            <sz val="9"/>
            <color indexed="81"/>
            <rFont val="Tahoma"/>
            <family val="2"/>
            <charset val="238"/>
          </rPr>
          <t xml:space="preserve">
040 ř.4430-4220 + SF ř.4281
nebo celk výdaje - tř6
nebo
min Závěrečný propočet dle výkazu</t>
        </r>
      </text>
    </comment>
    <comment ref="J12" authorId="0" shapeId="0">
      <text>
        <r>
          <rPr>
            <b/>
            <sz val="9"/>
            <color indexed="81"/>
            <rFont val="Tahoma"/>
            <family val="2"/>
            <charset val="238"/>
          </rPr>
          <t>Ing. Jana Holíková:</t>
        </r>
        <r>
          <rPr>
            <sz val="9"/>
            <color indexed="81"/>
            <rFont val="Tahoma"/>
            <family val="2"/>
            <charset val="238"/>
          </rPr>
          <t xml:space="preserve">
040 ř.4220
nebo
min Závěrečný propočet
dle výkazu</t>
        </r>
      </text>
    </comment>
    <comment ref="D53" authorId="1" shapeId="0">
      <text>
        <r>
          <rPr>
            <b/>
            <sz val="9"/>
            <color indexed="81"/>
            <rFont val="Tahoma"/>
            <family val="2"/>
            <charset val="238"/>
          </rPr>
          <t>Jana Holíková:</t>
        </r>
        <r>
          <rPr>
            <sz val="9"/>
            <color indexed="81"/>
            <rFont val="Tahoma"/>
            <family val="2"/>
            <charset val="238"/>
          </rPr>
          <t xml:space="preserve">
2103 ro17 -29.857.260</t>
        </r>
      </text>
    </comment>
    <comment ref="D54" authorId="1" shapeId="0">
      <text>
        <r>
          <rPr>
            <b/>
            <sz val="9"/>
            <color indexed="81"/>
            <rFont val="Tahoma"/>
            <family val="2"/>
            <charset val="238"/>
          </rPr>
          <t>Jana Holíková:</t>
        </r>
        <r>
          <rPr>
            <sz val="9"/>
            <color indexed="81"/>
            <rFont val="Tahoma"/>
            <family val="2"/>
            <charset val="238"/>
          </rPr>
          <t xml:space="preserve">
2103 ro17 -3.427.100</t>
        </r>
      </text>
    </comment>
    <comment ref="D55" authorId="1" shapeId="0">
      <text>
        <r>
          <rPr>
            <b/>
            <sz val="9"/>
            <color indexed="81"/>
            <rFont val="Tahoma"/>
            <family val="2"/>
            <charset val="238"/>
          </rPr>
          <t>Jana Holíková:</t>
        </r>
        <r>
          <rPr>
            <sz val="9"/>
            <color indexed="81"/>
            <rFont val="Tahoma"/>
            <family val="2"/>
            <charset val="238"/>
          </rPr>
          <t xml:space="preserve">
2103 ro17 +406.600</t>
        </r>
      </text>
    </comment>
    <comment ref="D56" authorId="1" shapeId="0">
      <text>
        <r>
          <rPr>
            <b/>
            <sz val="9"/>
            <color indexed="81"/>
            <rFont val="Tahoma"/>
            <family val="2"/>
            <charset val="238"/>
          </rPr>
          <t>Jana Holíková:</t>
        </r>
        <r>
          <rPr>
            <sz val="9"/>
            <color indexed="81"/>
            <rFont val="Tahoma"/>
            <family val="2"/>
            <charset val="238"/>
          </rPr>
          <t xml:space="preserve">
2103 ro17 -18.680</t>
        </r>
      </text>
    </comment>
    <comment ref="D57" authorId="1" shapeId="0">
      <text>
        <r>
          <rPr>
            <b/>
            <sz val="9"/>
            <color indexed="81"/>
            <rFont val="Tahoma"/>
            <family val="2"/>
            <charset val="238"/>
          </rPr>
          <t>Jana Holíková:</t>
        </r>
        <r>
          <rPr>
            <sz val="9"/>
            <color indexed="81"/>
            <rFont val="Tahoma"/>
            <family val="2"/>
            <charset val="238"/>
          </rPr>
          <t xml:space="preserve">
2103 ro17 +4.322.760</t>
        </r>
      </text>
    </comment>
    <comment ref="D58" authorId="2" shapeId="0">
      <text>
        <r>
          <rPr>
            <b/>
            <sz val="9"/>
            <color indexed="81"/>
            <rFont val="Tahoma"/>
            <family val="2"/>
            <charset val="238"/>
          </rPr>
          <t>Jana:</t>
        </r>
        <r>
          <rPr>
            <sz val="9"/>
            <color indexed="81"/>
            <rFont val="Tahoma"/>
            <family val="2"/>
            <charset val="238"/>
          </rPr>
          <t xml:space="preserve">
2105 ro47 -1.962.450</t>
        </r>
      </text>
    </comment>
    <comment ref="D59" authorId="1" shapeId="0">
      <text>
        <r>
          <rPr>
            <b/>
            <sz val="9"/>
            <color indexed="81"/>
            <rFont val="Tahoma"/>
            <family val="2"/>
            <charset val="238"/>
          </rPr>
          <t>Jana Holíková:</t>
        </r>
        <r>
          <rPr>
            <sz val="9"/>
            <color indexed="81"/>
            <rFont val="Tahoma"/>
            <family val="2"/>
            <charset val="238"/>
          </rPr>
          <t xml:space="preserve">
2103 ro17 +22.643.960</t>
        </r>
      </text>
    </comment>
    <comment ref="D92" authorId="1" shapeId="0">
      <text>
        <r>
          <rPr>
            <b/>
            <sz val="9"/>
            <color indexed="81"/>
            <rFont val="Tahoma"/>
            <family val="2"/>
            <charset val="238"/>
          </rPr>
          <t>Jana Holíková:</t>
        </r>
        <r>
          <rPr>
            <sz val="9"/>
            <color indexed="81"/>
            <rFont val="Tahoma"/>
            <family val="2"/>
            <charset val="238"/>
          </rPr>
          <t xml:space="preserve">
2103 ro11 -1.000.000</t>
        </r>
      </text>
    </comment>
    <comment ref="D93" authorId="1" shapeId="0">
      <text>
        <r>
          <rPr>
            <b/>
            <sz val="9"/>
            <color indexed="81"/>
            <rFont val="Tahoma"/>
            <family val="2"/>
            <charset val="238"/>
          </rPr>
          <t>Jana Holíková:</t>
        </r>
        <r>
          <rPr>
            <sz val="9"/>
            <color indexed="81"/>
            <rFont val="Tahoma"/>
            <family val="2"/>
            <charset val="238"/>
          </rPr>
          <t xml:space="preserve">
2103 ro11 -300.000</t>
        </r>
      </text>
    </comment>
    <comment ref="D101" authorId="1" shapeId="0">
      <text>
        <r>
          <rPr>
            <b/>
            <sz val="9"/>
            <color indexed="81"/>
            <rFont val="Tahoma"/>
            <family val="2"/>
            <charset val="238"/>
          </rPr>
          <t>Jana Holíková:</t>
        </r>
        <r>
          <rPr>
            <sz val="9"/>
            <color indexed="81"/>
            <rFont val="Tahoma"/>
            <family val="2"/>
            <charset val="238"/>
          </rPr>
          <t xml:space="preserve">
2102 ro7 
+25.236 (0504)
+27.775 (0309)
+35.940 (0307)
2104 ro29 +1.380
2106 ro50 +1.155.128,50</t>
        </r>
      </text>
    </comment>
    <comment ref="D107" authorId="1" shapeId="0">
      <text>
        <r>
          <rPr>
            <b/>
            <sz val="9"/>
            <color indexed="81"/>
            <rFont val="Tahoma"/>
            <family val="2"/>
            <charset val="238"/>
          </rPr>
          <t>Jana Holíková:</t>
        </r>
        <r>
          <rPr>
            <sz val="9"/>
            <color indexed="81"/>
            <rFont val="Tahoma"/>
            <family val="2"/>
            <charset val="238"/>
          </rPr>
          <t xml:space="preserve">
2103 ro11 -960</t>
        </r>
      </text>
    </comment>
    <comment ref="D108" authorId="1" shapeId="0">
      <text>
        <r>
          <rPr>
            <b/>
            <sz val="9"/>
            <color indexed="81"/>
            <rFont val="Tahoma"/>
            <family val="2"/>
            <charset val="238"/>
          </rPr>
          <t>Jana Holíková:</t>
        </r>
        <r>
          <rPr>
            <sz val="9"/>
            <color indexed="81"/>
            <rFont val="Tahoma"/>
            <family val="2"/>
            <charset val="238"/>
          </rPr>
          <t xml:space="preserve">
2103 ro11 -220.825</t>
        </r>
      </text>
    </comment>
    <comment ref="D111" authorId="1" shapeId="0">
      <text>
        <r>
          <rPr>
            <b/>
            <sz val="9"/>
            <color indexed="81"/>
            <rFont val="Tahoma"/>
            <family val="2"/>
            <charset val="238"/>
          </rPr>
          <t>Jana Holíková:</t>
        </r>
        <r>
          <rPr>
            <sz val="9"/>
            <color indexed="81"/>
            <rFont val="Tahoma"/>
            <family val="2"/>
            <charset val="238"/>
          </rPr>
          <t xml:space="preserve">
2103 ro11 -1.355.324 </t>
        </r>
      </text>
    </comment>
    <comment ref="D127" authorId="2" shapeId="0">
      <text>
        <r>
          <rPr>
            <b/>
            <sz val="9"/>
            <color indexed="81"/>
            <rFont val="Tahoma"/>
            <family val="2"/>
            <charset val="238"/>
          </rPr>
          <t>Jana:</t>
        </r>
        <r>
          <rPr>
            <sz val="9"/>
            <color indexed="81"/>
            <rFont val="Tahoma"/>
            <family val="2"/>
            <charset val="238"/>
          </rPr>
          <t xml:space="preserve">
2104 ro32 +84.689,93</t>
        </r>
      </text>
    </comment>
    <comment ref="D129" authorId="1" shapeId="0">
      <text>
        <r>
          <rPr>
            <b/>
            <sz val="9"/>
            <color indexed="81"/>
            <rFont val="Tahoma"/>
            <family val="2"/>
            <charset val="238"/>
          </rPr>
          <t>Jana Holíková:</t>
        </r>
        <r>
          <rPr>
            <sz val="9"/>
            <color indexed="81"/>
            <rFont val="Tahoma"/>
            <family val="2"/>
            <charset val="238"/>
          </rPr>
          <t xml:space="preserve">
2102 ro5
+ 65.834,23 (0305)
+140.191,92 (0307)</t>
        </r>
      </text>
    </comment>
    <comment ref="D132" authorId="1" shapeId="0">
      <text>
        <r>
          <rPr>
            <b/>
            <sz val="9"/>
            <color indexed="81"/>
            <rFont val="Tahoma"/>
            <family val="2"/>
            <charset val="238"/>
          </rPr>
          <t>Jana Holíková:</t>
        </r>
        <r>
          <rPr>
            <sz val="9"/>
            <color indexed="81"/>
            <rFont val="Tahoma"/>
            <family val="2"/>
            <charset val="238"/>
          </rPr>
          <t xml:space="preserve">
2102 ro5
+308.971,67 (0321)
+25.523,77 (0322)
+77.151,21 (0323)
+30.113,25 (0325)</t>
        </r>
      </text>
    </comment>
    <comment ref="D133" authorId="2" shapeId="0">
      <text>
        <r>
          <rPr>
            <b/>
            <sz val="9"/>
            <color indexed="81"/>
            <rFont val="Tahoma"/>
            <family val="2"/>
            <charset val="238"/>
          </rPr>
          <t>Jana:</t>
        </r>
        <r>
          <rPr>
            <sz val="9"/>
            <color indexed="81"/>
            <rFont val="Tahoma"/>
            <family val="2"/>
            <charset val="238"/>
          </rPr>
          <t xml:space="preserve">
2106 ro58 +16.912</t>
        </r>
      </text>
    </comment>
    <comment ref="D134" authorId="1" shapeId="0">
      <text>
        <r>
          <rPr>
            <b/>
            <sz val="9"/>
            <color indexed="81"/>
            <rFont val="Tahoma"/>
            <family val="2"/>
            <charset val="238"/>
          </rPr>
          <t>Jana Holíková:</t>
        </r>
        <r>
          <rPr>
            <sz val="9"/>
            <color indexed="81"/>
            <rFont val="Tahoma"/>
            <family val="2"/>
            <charset val="238"/>
          </rPr>
          <t xml:space="preserve">
2102 ro5
+58.335,59</t>
        </r>
      </text>
    </comment>
    <comment ref="D135" authorId="1" shapeId="0">
      <text>
        <r>
          <rPr>
            <b/>
            <sz val="9"/>
            <color indexed="81"/>
            <rFont val="Tahoma"/>
            <family val="2"/>
            <charset val="238"/>
          </rPr>
          <t>Jana Holíková:</t>
        </r>
        <r>
          <rPr>
            <sz val="9"/>
            <color indexed="81"/>
            <rFont val="Tahoma"/>
            <family val="2"/>
            <charset val="238"/>
          </rPr>
          <t xml:space="preserve">
2102 ro5
+92.743,77
</t>
        </r>
      </text>
    </comment>
    <comment ref="D136" authorId="1" shapeId="0">
      <text>
        <r>
          <rPr>
            <b/>
            <sz val="9"/>
            <color indexed="81"/>
            <rFont val="Tahoma"/>
            <family val="2"/>
            <charset val="238"/>
          </rPr>
          <t>Jana Holíková:</t>
        </r>
        <r>
          <rPr>
            <sz val="9"/>
            <color indexed="81"/>
            <rFont val="Tahoma"/>
            <family val="2"/>
            <charset val="238"/>
          </rPr>
          <t xml:space="preserve">
2102 ro5
+250.414</t>
        </r>
      </text>
    </comment>
    <comment ref="D137" authorId="1" shapeId="0">
      <text>
        <r>
          <rPr>
            <b/>
            <sz val="9"/>
            <color indexed="81"/>
            <rFont val="Tahoma"/>
            <family val="2"/>
            <charset val="238"/>
          </rPr>
          <t>Jana Holíková:</t>
        </r>
        <r>
          <rPr>
            <sz val="9"/>
            <color indexed="81"/>
            <rFont val="Tahoma"/>
            <family val="2"/>
            <charset val="238"/>
          </rPr>
          <t xml:space="preserve">
2102 ro9 +2.888.353,24</t>
        </r>
      </text>
    </comment>
    <comment ref="D141" authorId="1" shapeId="0">
      <text>
        <r>
          <rPr>
            <b/>
            <sz val="9"/>
            <color indexed="81"/>
            <rFont val="Tahoma"/>
            <family val="2"/>
            <charset val="238"/>
          </rPr>
          <t>Jana Holíková:</t>
        </r>
        <r>
          <rPr>
            <sz val="9"/>
            <color indexed="81"/>
            <rFont val="Tahoma"/>
            <family val="2"/>
            <charset val="238"/>
          </rPr>
          <t xml:space="preserve">
2103 ro11 +49.000
prodej zbraní</t>
        </r>
      </text>
    </comment>
    <comment ref="D142" authorId="1" shapeId="0">
      <text>
        <r>
          <rPr>
            <b/>
            <sz val="9"/>
            <color indexed="81"/>
            <rFont val="Tahoma"/>
            <family val="2"/>
            <charset val="238"/>
          </rPr>
          <t>Jana Holíková:</t>
        </r>
        <r>
          <rPr>
            <sz val="9"/>
            <color indexed="81"/>
            <rFont val="Tahoma"/>
            <family val="2"/>
            <charset val="238"/>
          </rPr>
          <t xml:space="preserve">
2103 ro27 -100.000
2103 ro28 -50.000
2104 ro28opr +150.000</t>
        </r>
      </text>
    </comment>
    <comment ref="D143" authorId="1" shapeId="0">
      <text>
        <r>
          <rPr>
            <b/>
            <sz val="9"/>
            <color indexed="81"/>
            <rFont val="Tahoma"/>
            <family val="2"/>
            <charset val="238"/>
          </rPr>
          <t>Jana Holíková:</t>
        </r>
        <r>
          <rPr>
            <sz val="9"/>
            <color indexed="81"/>
            <rFont val="Tahoma"/>
            <family val="2"/>
            <charset val="238"/>
          </rPr>
          <t xml:space="preserve">
2102 ro6 +8.732
2105 ro39 +15.883</t>
        </r>
      </text>
    </comment>
    <comment ref="D145" authorId="2" shapeId="0">
      <text>
        <r>
          <rPr>
            <b/>
            <sz val="9"/>
            <color indexed="81"/>
            <rFont val="Tahoma"/>
            <family val="2"/>
            <charset val="238"/>
          </rPr>
          <t>Jana:</t>
        </r>
        <r>
          <rPr>
            <sz val="9"/>
            <color indexed="81"/>
            <rFont val="Tahoma"/>
            <family val="2"/>
            <charset val="238"/>
          </rPr>
          <t xml:space="preserve">
2104 ro33 + 1.267</t>
        </r>
      </text>
    </comment>
    <comment ref="D194" authorId="1" shapeId="0">
      <text>
        <r>
          <rPr>
            <b/>
            <sz val="9"/>
            <color indexed="81"/>
            <rFont val="Tahoma"/>
            <family val="2"/>
            <charset val="238"/>
          </rPr>
          <t>Jana Holíková:</t>
        </r>
        <r>
          <rPr>
            <sz val="9"/>
            <color indexed="81"/>
            <rFont val="Tahoma"/>
            <family val="2"/>
            <charset val="238"/>
          </rPr>
          <t xml:space="preserve">
2102 ro10 -1.053.570</t>
        </r>
      </text>
    </comment>
    <comment ref="D195" authorId="1" shapeId="0">
      <text>
        <r>
          <rPr>
            <b/>
            <sz val="9"/>
            <color indexed="81"/>
            <rFont val="Tahoma"/>
            <family val="2"/>
            <charset val="238"/>
          </rPr>
          <t>Jana Holíková:</t>
        </r>
        <r>
          <rPr>
            <sz val="9"/>
            <color indexed="81"/>
            <rFont val="Tahoma"/>
            <family val="2"/>
            <charset val="238"/>
          </rPr>
          <t xml:space="preserve">
203 ro11 +1.000.000</t>
        </r>
      </text>
    </comment>
    <comment ref="D196" authorId="1" shapeId="0">
      <text>
        <r>
          <rPr>
            <b/>
            <sz val="9"/>
            <color indexed="81"/>
            <rFont val="Tahoma"/>
            <family val="2"/>
            <charset val="238"/>
          </rPr>
          <t>Jana Holíková:</t>
        </r>
        <r>
          <rPr>
            <sz val="9"/>
            <color indexed="81"/>
            <rFont val="Tahoma"/>
            <family val="2"/>
            <charset val="238"/>
          </rPr>
          <t xml:space="preserve">
2103 ro11 +2.226.747,48
2103 ro12 -2.226.747,48</t>
        </r>
      </text>
    </comment>
    <comment ref="D201" authorId="2" shapeId="0">
      <text>
        <r>
          <rPr>
            <b/>
            <sz val="9"/>
            <color indexed="81"/>
            <rFont val="Tahoma"/>
            <family val="2"/>
            <charset val="238"/>
          </rPr>
          <t>Jana:</t>
        </r>
        <r>
          <rPr>
            <sz val="9"/>
            <color indexed="81"/>
            <rFont val="Tahoma"/>
            <family val="2"/>
            <charset val="238"/>
          </rPr>
          <t xml:space="preserve">
2105 ro42 +1.026.933,11</t>
        </r>
      </text>
    </comment>
    <comment ref="D206" authorId="2" shapeId="0">
      <text>
        <r>
          <rPr>
            <b/>
            <sz val="9"/>
            <color indexed="81"/>
            <rFont val="Tahoma"/>
            <family val="2"/>
            <charset val="238"/>
          </rPr>
          <t>Jana:</t>
        </r>
        <r>
          <rPr>
            <sz val="9"/>
            <color indexed="81"/>
            <rFont val="Tahoma"/>
            <family val="2"/>
            <charset val="238"/>
          </rPr>
          <t xml:space="preserve">
2105 ro44 +-3.572.950</t>
        </r>
      </text>
    </comment>
    <comment ref="D207" authorId="2" shapeId="0">
      <text>
        <r>
          <rPr>
            <b/>
            <sz val="9"/>
            <color indexed="81"/>
            <rFont val="Tahoma"/>
            <family val="2"/>
            <charset val="238"/>
          </rPr>
          <t>Jana:</t>
        </r>
        <r>
          <rPr>
            <sz val="9"/>
            <color indexed="81"/>
            <rFont val="Tahoma"/>
            <family val="2"/>
            <charset val="238"/>
          </rPr>
          <t xml:space="preserve">
2105 ro43 -1.137.306
+1.211.186</t>
        </r>
      </text>
    </comment>
    <comment ref="D208" authorId="2" shapeId="0">
      <text>
        <r>
          <rPr>
            <b/>
            <sz val="9"/>
            <color indexed="81"/>
            <rFont val="Tahoma"/>
            <family val="2"/>
            <charset val="238"/>
          </rPr>
          <t>Jana:</t>
        </r>
        <r>
          <rPr>
            <sz val="9"/>
            <color indexed="81"/>
            <rFont val="Tahoma"/>
            <family val="2"/>
            <charset val="238"/>
          </rPr>
          <t xml:space="preserve">
2106 ro53 +91.988</t>
        </r>
      </text>
    </comment>
    <comment ref="D209" authorId="2" shapeId="0">
      <text>
        <r>
          <rPr>
            <b/>
            <sz val="9"/>
            <color indexed="81"/>
            <rFont val="Tahoma"/>
            <family val="2"/>
            <charset val="238"/>
          </rPr>
          <t>Jana:</t>
        </r>
        <r>
          <rPr>
            <sz val="9"/>
            <color indexed="81"/>
            <rFont val="Tahoma"/>
            <family val="2"/>
            <charset val="238"/>
          </rPr>
          <t xml:space="preserve">
2105 ro40 +1.395.266</t>
        </r>
      </text>
    </comment>
    <comment ref="D210" authorId="1" shapeId="0">
      <text>
        <r>
          <rPr>
            <b/>
            <sz val="9"/>
            <color indexed="81"/>
            <rFont val="Tahoma"/>
            <family val="2"/>
            <charset val="238"/>
          </rPr>
          <t>Jana Holíková:</t>
        </r>
        <r>
          <rPr>
            <sz val="9"/>
            <color indexed="81"/>
            <rFont val="Tahoma"/>
            <family val="2"/>
            <charset val="238"/>
          </rPr>
          <t xml:space="preserve">
2102 ro02 +68.450,27 </t>
        </r>
      </text>
    </comment>
    <comment ref="D211" authorId="1" shapeId="0">
      <text>
        <r>
          <rPr>
            <b/>
            <sz val="9"/>
            <color indexed="81"/>
            <rFont val="Tahoma"/>
            <family val="2"/>
            <charset val="238"/>
          </rPr>
          <t>Jana Holíková:</t>
        </r>
        <r>
          <rPr>
            <sz val="9"/>
            <color indexed="81"/>
            <rFont val="Tahoma"/>
            <family val="2"/>
            <charset val="238"/>
          </rPr>
          <t xml:space="preserve">
2102 ro 02 +1.163.654,63</t>
        </r>
      </text>
    </comment>
    <comment ref="D212" authorId="1" shapeId="0">
      <text>
        <r>
          <rPr>
            <b/>
            <sz val="9"/>
            <color indexed="81"/>
            <rFont val="Tahoma"/>
            <family val="2"/>
            <charset val="238"/>
          </rPr>
          <t>Jana Holíková:</t>
        </r>
        <r>
          <rPr>
            <sz val="9"/>
            <color indexed="81"/>
            <rFont val="Tahoma"/>
            <family val="2"/>
            <charset val="238"/>
          </rPr>
          <t xml:space="preserve">
2102 ro10 +726 </t>
        </r>
      </text>
    </comment>
    <comment ref="D213" authorId="1" shapeId="0">
      <text>
        <r>
          <rPr>
            <b/>
            <sz val="9"/>
            <color indexed="81"/>
            <rFont val="Tahoma"/>
            <family val="2"/>
            <charset val="238"/>
          </rPr>
          <t>Jana Holíková:</t>
        </r>
        <r>
          <rPr>
            <sz val="9"/>
            <color indexed="81"/>
            <rFont val="Tahoma"/>
            <family val="2"/>
            <charset val="238"/>
          </rPr>
          <t xml:space="preserve">
2102 ro 10 +14.520</t>
        </r>
      </text>
    </comment>
    <comment ref="D214" authorId="2" shapeId="0">
      <text>
        <r>
          <rPr>
            <b/>
            <sz val="9"/>
            <color indexed="81"/>
            <rFont val="Tahoma"/>
            <family val="2"/>
            <charset val="238"/>
          </rPr>
          <t>Jana:</t>
        </r>
        <r>
          <rPr>
            <sz val="9"/>
            <color indexed="81"/>
            <rFont val="Tahoma"/>
            <family val="2"/>
            <charset val="238"/>
          </rPr>
          <t xml:space="preserve">
2106 ro54 +167.860</t>
        </r>
      </text>
    </comment>
    <comment ref="D215" authorId="1" shapeId="0">
      <text>
        <r>
          <rPr>
            <b/>
            <sz val="9"/>
            <color indexed="81"/>
            <rFont val="Tahoma"/>
            <family val="2"/>
            <charset val="238"/>
          </rPr>
          <t>Jana Holíková:</t>
        </r>
        <r>
          <rPr>
            <sz val="9"/>
            <color indexed="81"/>
            <rFont val="Tahoma"/>
            <family val="2"/>
            <charset val="238"/>
          </rPr>
          <t xml:space="preserve">
2102 ro3 úz 33063
+ 70.381,36 1031
+398.827,64 1035</t>
        </r>
      </text>
    </comment>
    <comment ref="D216" authorId="1" shapeId="0">
      <text>
        <r>
          <rPr>
            <b/>
            <sz val="9"/>
            <color indexed="81"/>
            <rFont val="Tahoma"/>
            <family val="2"/>
            <charset val="238"/>
          </rPr>
          <t>Jana Holíková:</t>
        </r>
        <r>
          <rPr>
            <sz val="9"/>
            <color indexed="81"/>
            <rFont val="Tahoma"/>
            <family val="2"/>
            <charset val="238"/>
          </rPr>
          <t xml:space="preserve">
2103 ro24 úz 33063
+169.419,91 1031
+960.046,09 1035</t>
        </r>
      </text>
    </comment>
    <comment ref="D217" authorId="2" shapeId="0">
      <text>
        <r>
          <rPr>
            <b/>
            <sz val="9"/>
            <color indexed="81"/>
            <rFont val="Tahoma"/>
            <family val="2"/>
            <charset val="238"/>
          </rPr>
          <t>Jana:</t>
        </r>
        <r>
          <rPr>
            <sz val="9"/>
            <color indexed="81"/>
            <rFont val="Tahoma"/>
            <family val="2"/>
            <charset val="238"/>
          </rPr>
          <t xml:space="preserve">
2106 ro56 +62.300</t>
        </r>
      </text>
    </comment>
    <comment ref="D227" authorId="2" shapeId="0">
      <text>
        <r>
          <rPr>
            <b/>
            <sz val="9"/>
            <color indexed="81"/>
            <rFont val="Tahoma"/>
            <family val="2"/>
            <charset val="238"/>
          </rPr>
          <t>Jana:</t>
        </r>
        <r>
          <rPr>
            <sz val="9"/>
            <color indexed="81"/>
            <rFont val="Tahoma"/>
            <family val="2"/>
            <charset val="238"/>
          </rPr>
          <t xml:space="preserve">
2106 ro55 +106.000</t>
        </r>
      </text>
    </comment>
    <comment ref="D229" authorId="1" shapeId="0">
      <text>
        <r>
          <rPr>
            <b/>
            <sz val="9"/>
            <color indexed="81"/>
            <rFont val="Tahoma"/>
            <family val="2"/>
            <charset val="238"/>
          </rPr>
          <t>Jana Holíková:</t>
        </r>
        <r>
          <rPr>
            <sz val="9"/>
            <color indexed="81"/>
            <rFont val="Tahoma"/>
            <family val="2"/>
            <charset val="238"/>
          </rPr>
          <t xml:space="preserve">
2102 ro4 úz345
+4.123.000</t>
        </r>
      </text>
    </comment>
    <comment ref="D230" authorId="1" shapeId="0">
      <text>
        <r>
          <rPr>
            <b/>
            <sz val="9"/>
            <color indexed="81"/>
            <rFont val="Tahoma"/>
            <family val="2"/>
            <charset val="238"/>
          </rPr>
          <t>Jana Holíková:</t>
        </r>
        <r>
          <rPr>
            <sz val="9"/>
            <color indexed="81"/>
            <rFont val="Tahoma"/>
            <family val="2"/>
            <charset val="238"/>
          </rPr>
          <t xml:space="preserve">
2104 ro36 úz691
+100.000</t>
        </r>
      </text>
    </comment>
    <comment ref="D231" authorId="2" shapeId="0">
      <text>
        <r>
          <rPr>
            <b/>
            <sz val="9"/>
            <color indexed="81"/>
            <rFont val="Tahoma"/>
            <family val="2"/>
            <charset val="238"/>
          </rPr>
          <t>Jana:</t>
        </r>
        <r>
          <rPr>
            <sz val="9"/>
            <color indexed="81"/>
            <rFont val="Tahoma"/>
            <family val="2"/>
            <charset val="238"/>
          </rPr>
          <t xml:space="preserve">
2104 ro35 +5.584.000</t>
        </r>
      </text>
    </comment>
    <comment ref="D241" authorId="2" shapeId="0">
      <text>
        <r>
          <rPr>
            <b/>
            <sz val="9"/>
            <color indexed="81"/>
            <rFont val="Tahoma"/>
            <family val="2"/>
            <charset val="238"/>
          </rPr>
          <t>Jana:</t>
        </r>
        <r>
          <rPr>
            <sz val="9"/>
            <color indexed="81"/>
            <rFont val="Tahoma"/>
            <family val="2"/>
            <charset val="238"/>
          </rPr>
          <t xml:space="preserve">
2104 ro31 úz13013
+  59.625    1041
+506.812,5  1045</t>
        </r>
      </text>
    </comment>
    <comment ref="D242" authorId="1" shapeId="0">
      <text>
        <r>
          <rPr>
            <b/>
            <sz val="9"/>
            <color indexed="81"/>
            <rFont val="Tahoma"/>
            <family val="2"/>
            <charset val="238"/>
          </rPr>
          <t>Jana Holíková:</t>
        </r>
        <r>
          <rPr>
            <sz val="9"/>
            <color indexed="81"/>
            <rFont val="Tahoma"/>
            <family val="2"/>
            <charset val="238"/>
          </rPr>
          <t xml:space="preserve">
2102 ro 2 +51.518,60</t>
        </r>
      </text>
    </comment>
    <comment ref="D243" authorId="1" shapeId="0">
      <text>
        <r>
          <rPr>
            <b/>
            <sz val="9"/>
            <color indexed="81"/>
            <rFont val="Tahoma"/>
            <family val="2"/>
            <charset val="238"/>
          </rPr>
          <t>Jana Holíková:</t>
        </r>
        <r>
          <rPr>
            <sz val="9"/>
            <color indexed="81"/>
            <rFont val="Tahoma"/>
            <family val="2"/>
            <charset val="238"/>
          </rPr>
          <t xml:space="preserve">
2102 ro 2 +875.816,20</t>
        </r>
      </text>
    </comment>
    <comment ref="D244" authorId="1" shapeId="0">
      <text>
        <r>
          <rPr>
            <b/>
            <sz val="9"/>
            <color indexed="81"/>
            <rFont val="Tahoma"/>
            <family val="2"/>
            <charset val="238"/>
          </rPr>
          <t>Jana Holíková:</t>
        </r>
        <r>
          <rPr>
            <sz val="9"/>
            <color indexed="81"/>
            <rFont val="Tahoma"/>
            <family val="2"/>
            <charset val="238"/>
          </rPr>
          <t xml:space="preserve">
2102 ro10 +43,084,73</t>
        </r>
      </text>
    </comment>
    <comment ref="D245" authorId="1" shapeId="0">
      <text>
        <r>
          <rPr>
            <b/>
            <sz val="9"/>
            <color indexed="81"/>
            <rFont val="Tahoma"/>
            <family val="2"/>
            <charset val="238"/>
          </rPr>
          <t>Jana Holíková:</t>
        </r>
        <r>
          <rPr>
            <sz val="9"/>
            <color indexed="81"/>
            <rFont val="Tahoma"/>
            <family val="2"/>
            <charset val="238"/>
          </rPr>
          <t xml:space="preserve">
2102 ro10 +861.694,74</t>
        </r>
      </text>
    </comment>
    <comment ref="D246" authorId="1" shapeId="0">
      <text>
        <r>
          <rPr>
            <b/>
            <sz val="9"/>
            <color indexed="81"/>
            <rFont val="Tahoma"/>
            <family val="2"/>
            <charset val="238"/>
          </rPr>
          <t>Jana Holíková:</t>
        </r>
        <r>
          <rPr>
            <sz val="9"/>
            <color indexed="81"/>
            <rFont val="Tahoma"/>
            <family val="2"/>
            <charset val="238"/>
          </rPr>
          <t xml:space="preserve">
2103 ro12 +2.226.747,48</t>
        </r>
      </text>
    </comment>
    <comment ref="D249" authorId="1" shapeId="0">
      <text>
        <r>
          <rPr>
            <b/>
            <sz val="9"/>
            <color indexed="81"/>
            <rFont val="Tahoma"/>
            <family val="2"/>
            <charset val="238"/>
          </rPr>
          <t>Jana Holíková:</t>
        </r>
        <r>
          <rPr>
            <sz val="9"/>
            <color indexed="81"/>
            <rFont val="Tahoma"/>
            <family val="2"/>
            <charset val="238"/>
          </rPr>
          <t xml:space="preserve">
2103 ro12 úz201
+3.436.854,42
-3.700.000</t>
        </r>
      </text>
    </comment>
    <comment ref="D252" authorId="1" shapeId="0">
      <text>
        <r>
          <rPr>
            <b/>
            <sz val="9"/>
            <color indexed="81"/>
            <rFont val="Tahoma"/>
            <family val="2"/>
            <charset val="238"/>
          </rPr>
          <t>Jana Holíková:</t>
        </r>
        <r>
          <rPr>
            <sz val="9"/>
            <color indexed="81"/>
            <rFont val="Tahoma"/>
            <family val="2"/>
            <charset val="238"/>
          </rPr>
          <t xml:space="preserve">
2103 ro16 -60.000</t>
        </r>
      </text>
    </comment>
    <comment ref="D257" authorId="1" shapeId="0">
      <text>
        <r>
          <rPr>
            <b/>
            <sz val="9"/>
            <color indexed="81"/>
            <rFont val="Tahoma"/>
            <family val="2"/>
            <charset val="238"/>
          </rPr>
          <t>Jana Holíková:</t>
        </r>
        <r>
          <rPr>
            <sz val="9"/>
            <color indexed="81"/>
            <rFont val="Tahoma"/>
            <family val="2"/>
            <charset val="238"/>
          </rPr>
          <t xml:space="preserve">
2103 ro17 -7.195.200</t>
        </r>
      </text>
    </comment>
    <comment ref="D287" authorId="2" shapeId="0">
      <text>
        <r>
          <rPr>
            <b/>
            <sz val="9"/>
            <color indexed="81"/>
            <rFont val="Tahoma"/>
            <family val="2"/>
            <charset val="238"/>
          </rPr>
          <t>Jana:</t>
        </r>
        <r>
          <rPr>
            <sz val="9"/>
            <color indexed="81"/>
            <rFont val="Tahoma"/>
            <family val="2"/>
            <charset val="238"/>
          </rPr>
          <t xml:space="preserve">
2105 ro37 +42.500</t>
        </r>
      </text>
    </comment>
    <comment ref="D288" authorId="2" shapeId="0">
      <text>
        <r>
          <rPr>
            <b/>
            <sz val="9"/>
            <color indexed="81"/>
            <rFont val="Tahoma"/>
            <family val="2"/>
            <charset val="238"/>
          </rPr>
          <t>Jana:</t>
        </r>
        <r>
          <rPr>
            <sz val="9"/>
            <color indexed="81"/>
            <rFont val="Tahoma"/>
            <family val="2"/>
            <charset val="238"/>
          </rPr>
          <t xml:space="preserve">
2105 ro37 +87.350</t>
        </r>
      </text>
    </comment>
    <comment ref="D289" authorId="2" shapeId="0">
      <text>
        <r>
          <rPr>
            <b/>
            <sz val="9"/>
            <color indexed="81"/>
            <rFont val="Tahoma"/>
            <family val="2"/>
            <charset val="238"/>
          </rPr>
          <t>Jana:</t>
        </r>
        <r>
          <rPr>
            <sz val="9"/>
            <color indexed="81"/>
            <rFont val="Tahoma"/>
            <family val="2"/>
            <charset val="238"/>
          </rPr>
          <t xml:space="preserve">
2105 ro39 +2.640</t>
        </r>
      </text>
    </comment>
    <comment ref="D294" authorId="2" shapeId="0">
      <text>
        <r>
          <rPr>
            <b/>
            <sz val="9"/>
            <color indexed="81"/>
            <rFont val="Tahoma"/>
            <family val="2"/>
            <charset val="238"/>
          </rPr>
          <t>Jana:</t>
        </r>
        <r>
          <rPr>
            <sz val="9"/>
            <color indexed="81"/>
            <rFont val="Tahoma"/>
            <family val="2"/>
            <charset val="238"/>
          </rPr>
          <t xml:space="preserve">
2105 ro50 +1.155.128,50</t>
        </r>
      </text>
    </comment>
    <comment ref="D308" authorId="2" shapeId="0">
      <text>
        <r>
          <rPr>
            <b/>
            <sz val="9"/>
            <color indexed="81"/>
            <rFont val="Tahoma"/>
            <family val="2"/>
            <charset val="238"/>
          </rPr>
          <t>Jana:</t>
        </r>
        <r>
          <rPr>
            <sz val="9"/>
            <color indexed="81"/>
            <rFont val="Tahoma"/>
            <family val="2"/>
            <charset val="238"/>
          </rPr>
          <t xml:space="preserve">
210501 +-201.199</t>
        </r>
      </text>
    </comment>
    <comment ref="D316" authorId="2" shapeId="0">
      <text>
        <r>
          <rPr>
            <b/>
            <sz val="9"/>
            <color indexed="81"/>
            <rFont val="Tahoma"/>
            <family val="2"/>
            <charset val="238"/>
          </rPr>
          <t>Jana:</t>
        </r>
        <r>
          <rPr>
            <sz val="9"/>
            <color indexed="81"/>
            <rFont val="Tahoma"/>
            <family val="2"/>
            <charset val="238"/>
          </rPr>
          <t xml:space="preserve">
2105 ro37 +23.550</t>
        </r>
      </text>
    </comment>
    <comment ref="D321" authorId="2" shapeId="0">
      <text>
        <r>
          <rPr>
            <b/>
            <sz val="9"/>
            <color indexed="81"/>
            <rFont val="Tahoma"/>
            <family val="2"/>
            <charset val="238"/>
          </rPr>
          <t>Jana:</t>
        </r>
        <r>
          <rPr>
            <sz val="9"/>
            <color indexed="81"/>
            <rFont val="Tahoma"/>
            <family val="2"/>
            <charset val="238"/>
          </rPr>
          <t xml:space="preserve">
2105 ro37 +23.550</t>
        </r>
      </text>
    </comment>
    <comment ref="D324" authorId="2" shapeId="0">
      <text>
        <r>
          <rPr>
            <b/>
            <sz val="9"/>
            <color indexed="81"/>
            <rFont val="Tahoma"/>
            <family val="2"/>
            <charset val="238"/>
          </rPr>
          <t>Jana:</t>
        </r>
        <r>
          <rPr>
            <sz val="9"/>
            <color indexed="81"/>
            <rFont val="Tahoma"/>
            <family val="2"/>
            <charset val="238"/>
          </rPr>
          <t xml:space="preserve">
210604 +281,23</t>
        </r>
      </text>
    </comment>
    <comment ref="D325" authorId="2" shapeId="0">
      <text>
        <r>
          <rPr>
            <b/>
            <sz val="9"/>
            <color indexed="81"/>
            <rFont val="Tahoma"/>
            <family val="2"/>
            <charset val="238"/>
          </rPr>
          <t>Jana:</t>
        </r>
        <r>
          <rPr>
            <sz val="9"/>
            <color indexed="81"/>
            <rFont val="Tahoma"/>
            <family val="2"/>
            <charset val="238"/>
          </rPr>
          <t xml:space="preserve">
210604 -281,23</t>
        </r>
      </text>
    </comment>
    <comment ref="D332" authorId="2" shapeId="0">
      <text>
        <r>
          <rPr>
            <b/>
            <sz val="9"/>
            <color indexed="81"/>
            <rFont val="Tahoma"/>
            <family val="2"/>
            <charset val="238"/>
          </rPr>
          <t>Jana:</t>
        </r>
        <r>
          <rPr>
            <sz val="9"/>
            <color indexed="81"/>
            <rFont val="Tahoma"/>
            <family val="2"/>
            <charset val="238"/>
          </rPr>
          <t xml:space="preserve">
210606 -93.200</t>
        </r>
      </text>
    </comment>
    <comment ref="D333" authorId="2" shapeId="0">
      <text>
        <r>
          <rPr>
            <b/>
            <sz val="9"/>
            <color indexed="81"/>
            <rFont val="Tahoma"/>
            <family val="2"/>
            <charset val="238"/>
          </rPr>
          <t>Jana:</t>
        </r>
        <r>
          <rPr>
            <sz val="9"/>
            <color indexed="81"/>
            <rFont val="Tahoma"/>
            <family val="2"/>
            <charset val="238"/>
          </rPr>
          <t xml:space="preserve">
210606 +93.200</t>
        </r>
      </text>
    </comment>
    <comment ref="D336" authorId="2" shapeId="0">
      <text>
        <r>
          <rPr>
            <b/>
            <sz val="9"/>
            <color indexed="81"/>
            <rFont val="Tahoma"/>
            <family val="2"/>
            <charset val="238"/>
          </rPr>
          <t>Jana:</t>
        </r>
        <r>
          <rPr>
            <sz val="9"/>
            <color indexed="81"/>
            <rFont val="Tahoma"/>
            <family val="2"/>
            <charset val="238"/>
          </rPr>
          <t xml:space="preserve">
210408 +21.000</t>
        </r>
      </text>
    </comment>
    <comment ref="D337" authorId="2" shapeId="0">
      <text>
        <r>
          <rPr>
            <b/>
            <sz val="9"/>
            <color indexed="81"/>
            <rFont val="Tahoma"/>
            <family val="2"/>
            <charset val="238"/>
          </rPr>
          <t>Jana:</t>
        </r>
        <r>
          <rPr>
            <sz val="9"/>
            <color indexed="81"/>
            <rFont val="Tahoma"/>
            <family val="2"/>
            <charset val="238"/>
          </rPr>
          <t xml:space="preserve">
210404 -15.000
210408 -21.000</t>
        </r>
      </text>
    </comment>
    <comment ref="D339" authorId="2" shapeId="0">
      <text>
        <r>
          <rPr>
            <b/>
            <sz val="9"/>
            <color indexed="81"/>
            <rFont val="Tahoma"/>
            <family val="2"/>
            <charset val="238"/>
          </rPr>
          <t>Jana:</t>
        </r>
        <r>
          <rPr>
            <sz val="9"/>
            <color indexed="81"/>
            <rFont val="Tahoma"/>
            <family val="2"/>
            <charset val="238"/>
          </rPr>
          <t xml:space="preserve">
210404 +15.000</t>
        </r>
      </text>
    </comment>
    <comment ref="D347" authorId="1" shapeId="0">
      <text>
        <r>
          <rPr>
            <b/>
            <sz val="9"/>
            <color indexed="81"/>
            <rFont val="Tahoma"/>
            <family val="2"/>
            <charset val="238"/>
          </rPr>
          <t>Jana Holíková:</t>
        </r>
        <r>
          <rPr>
            <sz val="9"/>
            <color indexed="81"/>
            <rFont val="Tahoma"/>
            <family val="2"/>
            <charset val="238"/>
          </rPr>
          <t xml:space="preserve">
2103 ro11 -170.000</t>
        </r>
      </text>
    </comment>
    <comment ref="D359" authorId="1" shapeId="0">
      <text>
        <r>
          <rPr>
            <b/>
            <sz val="9"/>
            <color indexed="81"/>
            <rFont val="Tahoma"/>
            <family val="2"/>
            <charset val="238"/>
          </rPr>
          <t>Jana Holíková:</t>
        </r>
        <r>
          <rPr>
            <sz val="9"/>
            <color indexed="81"/>
            <rFont val="Tahoma"/>
            <family val="2"/>
            <charset val="238"/>
          </rPr>
          <t xml:space="preserve">
210202 -82.280</t>
        </r>
      </text>
    </comment>
    <comment ref="D360" authorId="2" shapeId="0">
      <text>
        <r>
          <rPr>
            <b/>
            <sz val="9"/>
            <color indexed="81"/>
            <rFont val="Tahoma"/>
            <family val="2"/>
            <charset val="238"/>
          </rPr>
          <t>Jana:</t>
        </r>
        <r>
          <rPr>
            <sz val="9"/>
            <color indexed="81"/>
            <rFont val="Tahoma"/>
            <family val="2"/>
            <charset val="238"/>
          </rPr>
          <t xml:space="preserve">
210607 -450.000</t>
        </r>
      </text>
    </comment>
    <comment ref="D368" authorId="1" shapeId="0">
      <text>
        <r>
          <rPr>
            <b/>
            <sz val="9"/>
            <color indexed="81"/>
            <rFont val="Tahoma"/>
            <family val="2"/>
            <charset val="238"/>
          </rPr>
          <t>Jana Holíková:</t>
        </r>
        <r>
          <rPr>
            <sz val="9"/>
            <color indexed="81"/>
            <rFont val="Tahoma"/>
            <family val="2"/>
            <charset val="238"/>
          </rPr>
          <t xml:space="preserve">
2103 ro11 -160.500</t>
        </r>
      </text>
    </comment>
    <comment ref="D369" authorId="2" shapeId="0">
      <text>
        <r>
          <rPr>
            <b/>
            <sz val="9"/>
            <color indexed="81"/>
            <rFont val="Tahoma"/>
            <family val="2"/>
            <charset val="238"/>
          </rPr>
          <t>Jana:</t>
        </r>
        <r>
          <rPr>
            <sz val="9"/>
            <color indexed="81"/>
            <rFont val="Tahoma"/>
            <family val="2"/>
            <charset val="238"/>
          </rPr>
          <t xml:space="preserve">
210607 +450.000</t>
        </r>
      </text>
    </comment>
    <comment ref="D372" authorId="1" shapeId="0">
      <text>
        <r>
          <rPr>
            <b/>
            <sz val="9"/>
            <color indexed="81"/>
            <rFont val="Tahoma"/>
            <family val="2"/>
            <charset val="238"/>
          </rPr>
          <t>Jana Holíková:</t>
        </r>
        <r>
          <rPr>
            <sz val="9"/>
            <color indexed="81"/>
            <rFont val="Tahoma"/>
            <family val="2"/>
            <charset val="238"/>
          </rPr>
          <t xml:space="preserve">
210303 -215.890
210304 -162.803</t>
        </r>
      </text>
    </comment>
    <comment ref="D375" authorId="1" shapeId="0">
      <text>
        <r>
          <rPr>
            <b/>
            <sz val="9"/>
            <color indexed="81"/>
            <rFont val="Tahoma"/>
            <family val="2"/>
            <charset val="238"/>
          </rPr>
          <t>Jana Holíková:</t>
        </r>
        <r>
          <rPr>
            <sz val="9"/>
            <color indexed="81"/>
            <rFont val="Tahoma"/>
            <family val="2"/>
            <charset val="238"/>
          </rPr>
          <t xml:space="preserve">
210304 +162.803</t>
        </r>
      </text>
    </comment>
    <comment ref="D377" authorId="1" shapeId="0">
      <text>
        <r>
          <rPr>
            <b/>
            <sz val="9"/>
            <color indexed="81"/>
            <rFont val="Tahoma"/>
            <family val="2"/>
            <charset val="238"/>
          </rPr>
          <t>Jana Holíková:</t>
        </r>
        <r>
          <rPr>
            <sz val="9"/>
            <color indexed="81"/>
            <rFont val="Tahoma"/>
            <family val="2"/>
            <charset val="238"/>
          </rPr>
          <t xml:space="preserve">
210303 +95.430</t>
        </r>
      </text>
    </comment>
    <comment ref="D378" authorId="1" shapeId="0">
      <text>
        <r>
          <rPr>
            <b/>
            <sz val="9"/>
            <color indexed="81"/>
            <rFont val="Tahoma"/>
            <family val="2"/>
            <charset val="238"/>
          </rPr>
          <t>Jana Holíková:</t>
        </r>
        <r>
          <rPr>
            <sz val="9"/>
            <color indexed="81"/>
            <rFont val="Tahoma"/>
            <family val="2"/>
            <charset val="238"/>
          </rPr>
          <t xml:space="preserve">
210303 +8.029</t>
        </r>
      </text>
    </comment>
    <comment ref="D379" authorId="1" shapeId="0">
      <text>
        <r>
          <rPr>
            <b/>
            <sz val="9"/>
            <color indexed="81"/>
            <rFont val="Tahoma"/>
            <family val="2"/>
            <charset val="238"/>
          </rPr>
          <t>Jana Holíková:</t>
        </r>
        <r>
          <rPr>
            <sz val="9"/>
            <color indexed="81"/>
            <rFont val="Tahoma"/>
            <family val="2"/>
            <charset val="238"/>
          </rPr>
          <t xml:space="preserve">
210303 +80.396</t>
        </r>
      </text>
    </comment>
    <comment ref="D381" authorId="1" shapeId="0">
      <text>
        <r>
          <rPr>
            <b/>
            <sz val="9"/>
            <color indexed="81"/>
            <rFont val="Tahoma"/>
            <family val="2"/>
            <charset val="238"/>
          </rPr>
          <t>Jana Holíková:</t>
        </r>
        <r>
          <rPr>
            <sz val="9"/>
            <color indexed="81"/>
            <rFont val="Tahoma"/>
            <family val="2"/>
            <charset val="238"/>
          </rPr>
          <t xml:space="preserve">
2103 ro11 -100.000</t>
        </r>
      </text>
    </comment>
    <comment ref="D382" authorId="1" shapeId="0">
      <text>
        <r>
          <rPr>
            <b/>
            <sz val="9"/>
            <color indexed="81"/>
            <rFont val="Tahoma"/>
            <family val="2"/>
            <charset val="238"/>
          </rPr>
          <t>Jana Holíková:</t>
        </r>
        <r>
          <rPr>
            <sz val="9"/>
            <color indexed="81"/>
            <rFont val="Tahoma"/>
            <family val="2"/>
            <charset val="238"/>
          </rPr>
          <t xml:space="preserve">
210303 +32.035</t>
        </r>
      </text>
    </comment>
    <comment ref="D383" authorId="1" shapeId="0">
      <text>
        <r>
          <rPr>
            <b/>
            <sz val="9"/>
            <color indexed="81"/>
            <rFont val="Tahoma"/>
            <family val="2"/>
            <charset val="238"/>
          </rPr>
          <t>Jana Holíková:</t>
        </r>
        <r>
          <rPr>
            <sz val="9"/>
            <color indexed="81"/>
            <rFont val="Tahoma"/>
            <family val="2"/>
            <charset val="238"/>
          </rPr>
          <t xml:space="preserve">
210202 +82.280</t>
        </r>
      </text>
    </comment>
    <comment ref="D396" authorId="1" shapeId="0">
      <text>
        <r>
          <rPr>
            <b/>
            <sz val="9"/>
            <color indexed="81"/>
            <rFont val="Tahoma"/>
            <family val="2"/>
            <charset val="238"/>
          </rPr>
          <t>Jana Holíková:</t>
        </r>
        <r>
          <rPr>
            <sz val="9"/>
            <color indexed="81"/>
            <rFont val="Tahoma"/>
            <family val="2"/>
            <charset val="238"/>
          </rPr>
          <t xml:space="preserve">
2103 ro11 -700.000</t>
        </r>
      </text>
    </comment>
    <comment ref="D405" authorId="2" shapeId="0">
      <text>
        <r>
          <rPr>
            <b/>
            <sz val="9"/>
            <color indexed="81"/>
            <rFont val="Tahoma"/>
            <family val="2"/>
            <charset val="238"/>
          </rPr>
          <t>Jana:</t>
        </r>
        <r>
          <rPr>
            <sz val="9"/>
            <color indexed="81"/>
            <rFont val="Tahoma"/>
            <family val="2"/>
            <charset val="238"/>
          </rPr>
          <t xml:space="preserve">
2105 ro48 -6.000.000</t>
        </r>
      </text>
    </comment>
    <comment ref="D407" authorId="1" shapeId="0">
      <text>
        <r>
          <rPr>
            <b/>
            <sz val="9"/>
            <color indexed="81"/>
            <rFont val="Tahoma"/>
            <family val="2"/>
            <charset val="238"/>
          </rPr>
          <t>Jana Holíková:</t>
        </r>
        <r>
          <rPr>
            <sz val="9"/>
            <color indexed="81"/>
            <rFont val="Tahoma"/>
            <family val="2"/>
            <charset val="238"/>
          </rPr>
          <t xml:space="preserve">
2103 ro11 -1.000.000</t>
        </r>
      </text>
    </comment>
    <comment ref="D408" authorId="2" shapeId="0">
      <text>
        <r>
          <rPr>
            <b/>
            <sz val="9"/>
            <color indexed="81"/>
            <rFont val="Tahoma"/>
            <family val="2"/>
            <charset val="238"/>
          </rPr>
          <t>Jana:</t>
        </r>
        <r>
          <rPr>
            <sz val="9"/>
            <color indexed="81"/>
            <rFont val="Tahoma"/>
            <family val="2"/>
            <charset val="238"/>
          </rPr>
          <t xml:space="preserve">
210403 -60.000</t>
        </r>
      </text>
    </comment>
    <comment ref="D412" authorId="2" shapeId="0">
      <text>
        <r>
          <rPr>
            <b/>
            <sz val="9"/>
            <color indexed="81"/>
            <rFont val="Tahoma"/>
            <family val="2"/>
            <charset val="238"/>
          </rPr>
          <t>Jana:</t>
        </r>
        <r>
          <rPr>
            <sz val="9"/>
            <color indexed="81"/>
            <rFont val="Tahoma"/>
            <family val="2"/>
            <charset val="238"/>
          </rPr>
          <t xml:space="preserve">
210403 +60.000</t>
        </r>
      </text>
    </comment>
    <comment ref="D415" authorId="2" shapeId="0">
      <text>
        <r>
          <rPr>
            <b/>
            <sz val="9"/>
            <color indexed="81"/>
            <rFont val="Tahoma"/>
            <family val="2"/>
            <charset val="238"/>
          </rPr>
          <t>Jana:</t>
        </r>
        <r>
          <rPr>
            <sz val="9"/>
            <color indexed="81"/>
            <rFont val="Tahoma"/>
            <family val="2"/>
            <charset val="238"/>
          </rPr>
          <t xml:space="preserve">
2105 ro41 -8.000.000</t>
        </r>
      </text>
    </comment>
    <comment ref="D417" authorId="2" shapeId="0">
      <text>
        <r>
          <rPr>
            <b/>
            <sz val="9"/>
            <color indexed="81"/>
            <rFont val="Tahoma"/>
            <family val="2"/>
            <charset val="238"/>
          </rPr>
          <t>Jana:</t>
        </r>
        <r>
          <rPr>
            <sz val="9"/>
            <color indexed="81"/>
            <rFont val="Tahoma"/>
            <family val="2"/>
            <charset val="238"/>
          </rPr>
          <t xml:space="preserve">
2106 ro52 -150.000</t>
        </r>
      </text>
    </comment>
    <comment ref="D418" authorId="2" shapeId="0">
      <text>
        <r>
          <rPr>
            <b/>
            <sz val="9"/>
            <color indexed="81"/>
            <rFont val="Tahoma"/>
            <family val="2"/>
            <charset val="238"/>
          </rPr>
          <t>Jana:</t>
        </r>
        <r>
          <rPr>
            <sz val="9"/>
            <color indexed="81"/>
            <rFont val="Tahoma"/>
            <family val="2"/>
            <charset val="238"/>
          </rPr>
          <t xml:space="preserve">
2106 ro52 -150.000</t>
        </r>
      </text>
    </comment>
    <comment ref="D422" authorId="1" shapeId="0">
      <text>
        <r>
          <rPr>
            <b/>
            <sz val="9"/>
            <color indexed="81"/>
            <rFont val="Tahoma"/>
            <family val="2"/>
            <charset val="238"/>
          </rPr>
          <t>Jana Holíková:</t>
        </r>
        <r>
          <rPr>
            <sz val="9"/>
            <color indexed="81"/>
            <rFont val="Tahoma"/>
            <family val="2"/>
            <charset val="238"/>
          </rPr>
          <t xml:space="preserve">
2103 ro18 -810.000
2103 ro25 +2.000.000</t>
        </r>
      </text>
    </comment>
    <comment ref="D423" authorId="1" shapeId="0">
      <text>
        <r>
          <rPr>
            <b/>
            <sz val="9"/>
            <color indexed="81"/>
            <rFont val="Tahoma"/>
            <family val="2"/>
            <charset val="238"/>
          </rPr>
          <t>Jana Holíková:</t>
        </r>
        <r>
          <rPr>
            <sz val="9"/>
            <color indexed="81"/>
            <rFont val="Tahoma"/>
            <family val="2"/>
            <charset val="238"/>
          </rPr>
          <t xml:space="preserve">
2103 ro18 -2.095.129</t>
        </r>
      </text>
    </comment>
    <comment ref="D424" authorId="1" shapeId="0">
      <text>
        <r>
          <rPr>
            <b/>
            <sz val="9"/>
            <color indexed="81"/>
            <rFont val="Tahoma"/>
            <family val="2"/>
            <charset val="238"/>
          </rPr>
          <t>Jana Holíková:</t>
        </r>
        <r>
          <rPr>
            <sz val="9"/>
            <color indexed="81"/>
            <rFont val="Tahoma"/>
            <family val="2"/>
            <charset val="238"/>
          </rPr>
          <t xml:space="preserve">
2103 ro18 -20.000</t>
        </r>
      </text>
    </comment>
    <comment ref="D428" authorId="2" shapeId="0">
      <text>
        <r>
          <rPr>
            <b/>
            <sz val="9"/>
            <color indexed="81"/>
            <rFont val="Tahoma"/>
            <family val="2"/>
            <charset val="238"/>
          </rPr>
          <t>Jana:</t>
        </r>
        <r>
          <rPr>
            <sz val="9"/>
            <color indexed="81"/>
            <rFont val="Tahoma"/>
            <family val="2"/>
            <charset val="238"/>
          </rPr>
          <t xml:space="preserve">
2104 ro36 +100.000</t>
        </r>
      </text>
    </comment>
    <comment ref="D439" authorId="1" shapeId="0">
      <text>
        <r>
          <rPr>
            <b/>
            <sz val="9"/>
            <color indexed="81"/>
            <rFont val="Tahoma"/>
            <family val="2"/>
            <charset val="238"/>
          </rPr>
          <t>Jana Holíková:</t>
        </r>
        <r>
          <rPr>
            <sz val="9"/>
            <color indexed="81"/>
            <rFont val="Tahoma"/>
            <family val="2"/>
            <charset val="238"/>
          </rPr>
          <t xml:space="preserve">
2103 ro11 -150.000</t>
        </r>
      </text>
    </comment>
    <comment ref="D456" authorId="1" shapeId="0">
      <text>
        <r>
          <rPr>
            <b/>
            <sz val="9"/>
            <color indexed="81"/>
            <rFont val="Tahoma"/>
            <family val="2"/>
            <charset val="238"/>
          </rPr>
          <t>Jana Holíková:</t>
        </r>
        <r>
          <rPr>
            <sz val="9"/>
            <color indexed="81"/>
            <rFont val="Tahoma"/>
            <family val="2"/>
            <charset val="238"/>
          </rPr>
          <t xml:space="preserve">
2103 ro11 -60.000</t>
        </r>
      </text>
    </comment>
    <comment ref="D458" authorId="2" shapeId="0">
      <text>
        <r>
          <rPr>
            <b/>
            <sz val="9"/>
            <color indexed="81"/>
            <rFont val="Tahoma"/>
            <family val="2"/>
            <charset val="238"/>
          </rPr>
          <t>Jana:</t>
        </r>
        <r>
          <rPr>
            <sz val="9"/>
            <color indexed="81"/>
            <rFont val="Tahoma"/>
            <family val="2"/>
            <charset val="238"/>
          </rPr>
          <t xml:space="preserve">
2104 ro38 -1.000.000</t>
        </r>
      </text>
    </comment>
    <comment ref="D461" authorId="1" shapeId="0">
      <text>
        <r>
          <rPr>
            <b/>
            <sz val="9"/>
            <color indexed="81"/>
            <rFont val="Tahoma"/>
            <family val="2"/>
            <charset val="238"/>
          </rPr>
          <t>Jana Holíková:</t>
        </r>
        <r>
          <rPr>
            <sz val="9"/>
            <color indexed="81"/>
            <rFont val="Tahoma"/>
            <family val="2"/>
            <charset val="238"/>
          </rPr>
          <t xml:space="preserve">
2102 ro7 +35.940
2103 ro11 -140.000</t>
        </r>
      </text>
    </comment>
    <comment ref="D465" authorId="1" shapeId="0">
      <text>
        <r>
          <rPr>
            <b/>
            <sz val="9"/>
            <color indexed="81"/>
            <rFont val="Tahoma"/>
            <family val="2"/>
            <charset val="238"/>
          </rPr>
          <t>Jana Holíková:</t>
        </r>
        <r>
          <rPr>
            <sz val="9"/>
            <color indexed="81"/>
            <rFont val="Tahoma"/>
            <family val="2"/>
            <charset val="238"/>
          </rPr>
          <t xml:space="preserve">
2102 ro3 úz33063
+ 70.381,36 1031
+398.827,64 1035
2102 ro7 +27.775</t>
        </r>
      </text>
    </comment>
    <comment ref="D476" authorId="1" shapeId="0">
      <text>
        <r>
          <rPr>
            <b/>
            <sz val="9"/>
            <color indexed="81"/>
            <rFont val="Tahoma"/>
            <family val="2"/>
            <charset val="238"/>
          </rPr>
          <t>Jana Holíková:</t>
        </r>
        <r>
          <rPr>
            <sz val="9"/>
            <color indexed="81"/>
            <rFont val="Tahoma"/>
            <family val="2"/>
            <charset val="238"/>
          </rPr>
          <t xml:space="preserve">
2102 ro6 +7.932
2103 ro11 -300.000</t>
        </r>
      </text>
    </comment>
    <comment ref="D477" authorId="2" shapeId="0">
      <text>
        <r>
          <rPr>
            <b/>
            <sz val="9"/>
            <color indexed="81"/>
            <rFont val="Tahoma"/>
            <family val="2"/>
            <charset val="238"/>
          </rPr>
          <t>Jana:</t>
        </r>
        <r>
          <rPr>
            <sz val="9"/>
            <color indexed="81"/>
            <rFont val="Tahoma"/>
            <family val="2"/>
            <charset val="238"/>
          </rPr>
          <t xml:space="preserve">
2105 ro39 +5.000</t>
        </r>
      </text>
    </comment>
    <comment ref="D481" authorId="1" shapeId="0">
      <text>
        <r>
          <rPr>
            <b/>
            <sz val="9"/>
            <color indexed="81"/>
            <rFont val="Tahoma"/>
            <family val="2"/>
            <charset val="238"/>
          </rPr>
          <t>Jana Holíková:</t>
        </r>
        <r>
          <rPr>
            <sz val="9"/>
            <color indexed="81"/>
            <rFont val="Tahoma"/>
            <family val="2"/>
            <charset val="238"/>
          </rPr>
          <t xml:space="preserve">
2103 ro11 -30.000</t>
        </r>
      </text>
    </comment>
    <comment ref="D486" authorId="1" shapeId="0">
      <text>
        <r>
          <rPr>
            <b/>
            <sz val="9"/>
            <color indexed="81"/>
            <rFont val="Tahoma"/>
            <family val="2"/>
            <charset val="238"/>
          </rPr>
          <t>Jana Holíková:</t>
        </r>
        <r>
          <rPr>
            <sz val="9"/>
            <color indexed="81"/>
            <rFont val="Tahoma"/>
            <family val="2"/>
            <charset val="238"/>
          </rPr>
          <t xml:space="preserve">
2102 ro 2
 +   68.450,27 úz 17015, náz 1071
+1.163.654,63 úz 17016, náz 1075 
2103 ro11 -80.000</t>
        </r>
      </text>
    </comment>
    <comment ref="D487" authorId="2" shapeId="0">
      <text>
        <r>
          <rPr>
            <b/>
            <sz val="9"/>
            <color indexed="81"/>
            <rFont val="Tahoma"/>
            <family val="2"/>
            <charset val="238"/>
          </rPr>
          <t>Jana:</t>
        </r>
        <r>
          <rPr>
            <sz val="9"/>
            <color indexed="81"/>
            <rFont val="Tahoma"/>
            <family val="2"/>
            <charset val="238"/>
          </rPr>
          <t xml:space="preserve">
2105 ro38 -2.000.000</t>
        </r>
      </text>
    </comment>
    <comment ref="D488" authorId="1" shapeId="0">
      <text>
        <r>
          <rPr>
            <b/>
            <sz val="9"/>
            <color indexed="81"/>
            <rFont val="Tahoma"/>
            <family val="2"/>
            <charset val="238"/>
          </rPr>
          <t>Jana Holíková:</t>
        </r>
        <r>
          <rPr>
            <sz val="9"/>
            <color indexed="81"/>
            <rFont val="Tahoma"/>
            <family val="2"/>
            <charset val="238"/>
          </rPr>
          <t xml:space="preserve">
2102 ro 2
+  51.518,6 úz17968 náz 1071
+875.816,2 úz17969 náz 1075</t>
        </r>
      </text>
    </comment>
    <comment ref="D491" authorId="1" shapeId="0">
      <text>
        <r>
          <rPr>
            <b/>
            <sz val="9"/>
            <color indexed="81"/>
            <rFont val="Tahoma"/>
            <family val="2"/>
            <charset val="238"/>
          </rPr>
          <t>Jana Holíková:</t>
        </r>
        <r>
          <rPr>
            <sz val="9"/>
            <color indexed="81"/>
            <rFont val="Tahoma"/>
            <family val="2"/>
            <charset val="238"/>
          </rPr>
          <t xml:space="preserve">
2103 ro11 -40.000
2103 ro24 úz33063
+169.419,91 1031
+960.046,09 1035
2106 ro55 +106.000 úz133</t>
        </r>
      </text>
    </comment>
    <comment ref="D497" authorId="1" shapeId="0">
      <text>
        <r>
          <rPr>
            <b/>
            <sz val="9"/>
            <color indexed="81"/>
            <rFont val="Tahoma"/>
            <family val="2"/>
            <charset val="238"/>
          </rPr>
          <t>Jana Holíková:</t>
        </r>
        <r>
          <rPr>
            <sz val="9"/>
            <color indexed="81"/>
            <rFont val="Tahoma"/>
            <family val="2"/>
            <charset val="238"/>
          </rPr>
          <t xml:space="preserve">
2103 ro11 -40.000
2106 ro56 +62.300</t>
        </r>
      </text>
    </comment>
    <comment ref="D503" authorId="1" shapeId="0">
      <text>
        <r>
          <rPr>
            <b/>
            <sz val="9"/>
            <color indexed="81"/>
            <rFont val="Tahoma"/>
            <family val="2"/>
            <charset val="238"/>
          </rPr>
          <t>Jana Holíková:</t>
        </r>
        <r>
          <rPr>
            <sz val="9"/>
            <color indexed="81"/>
            <rFont val="Tahoma"/>
            <family val="2"/>
            <charset val="238"/>
          </rPr>
          <t xml:space="preserve">
2102 ro7 +25.236
2103 ro11 -100.000</t>
        </r>
      </text>
    </comment>
    <comment ref="D504" authorId="1" shapeId="0">
      <text>
        <r>
          <rPr>
            <b/>
            <sz val="9"/>
            <color indexed="81"/>
            <rFont val="Tahoma"/>
            <family val="2"/>
            <charset val="238"/>
          </rPr>
          <t>Jana Holíková:</t>
        </r>
        <r>
          <rPr>
            <sz val="9"/>
            <color indexed="81"/>
            <rFont val="Tahoma"/>
            <family val="2"/>
            <charset val="238"/>
          </rPr>
          <t xml:space="preserve">
2103 ro11 -2.000.000</t>
        </r>
      </text>
    </comment>
    <comment ref="J513" authorId="1" shapeId="0">
      <text>
        <r>
          <rPr>
            <b/>
            <sz val="9"/>
            <color indexed="81"/>
            <rFont val="Tahoma"/>
            <family val="2"/>
            <charset val="238"/>
          </rPr>
          <t>Jana Holíková:</t>
        </r>
        <r>
          <rPr>
            <sz val="9"/>
            <color indexed="81"/>
            <rFont val="Tahoma"/>
            <family val="2"/>
            <charset val="238"/>
          </rPr>
          <t xml:space="preserve">
0381 019 6171:
50xx  43.827.695
5424     247.607
5167     507.759,10
5173     122.275
5192-5     0
------------------------
cel     44.952.943,10</t>
        </r>
      </text>
    </comment>
    <comment ref="D518" authorId="1" shapeId="0">
      <text>
        <r>
          <rPr>
            <b/>
            <sz val="9"/>
            <color indexed="81"/>
            <rFont val="Tahoma"/>
            <family val="2"/>
            <charset val="238"/>
          </rPr>
          <t>Jana Holíková:</t>
        </r>
        <r>
          <rPr>
            <sz val="9"/>
            <color indexed="81"/>
            <rFont val="Tahoma"/>
            <family val="2"/>
            <charset val="238"/>
          </rPr>
          <t xml:space="preserve">
2102 ro4 úz345
+4.123.000
2103 ro11 -250.000
2103 ro18 +830.000
2103 ro27 +100.000 NJKL
2105 ro38 -300.000 -330000
</t>
        </r>
      </text>
    </comment>
    <comment ref="D520" authorId="2" shapeId="0">
      <text>
        <r>
          <rPr>
            <b/>
            <sz val="9"/>
            <color indexed="81"/>
            <rFont val="Tahoma"/>
            <family val="2"/>
            <charset val="238"/>
          </rPr>
          <t>Jana:</t>
        </r>
        <r>
          <rPr>
            <sz val="9"/>
            <color indexed="81"/>
            <rFont val="Tahoma"/>
            <family val="2"/>
            <charset val="238"/>
          </rPr>
          <t xml:space="preserve">
2106 ro57 -32.201
</t>
        </r>
      </text>
    </comment>
    <comment ref="D521" authorId="2" shapeId="0">
      <text>
        <r>
          <rPr>
            <b/>
            <sz val="9"/>
            <color indexed="81"/>
            <rFont val="Tahoma"/>
            <family val="2"/>
            <charset val="238"/>
          </rPr>
          <t>Jana:</t>
        </r>
        <r>
          <rPr>
            <sz val="9"/>
            <color indexed="81"/>
            <rFont val="Tahoma"/>
            <family val="2"/>
            <charset val="238"/>
          </rPr>
          <t xml:space="preserve">
2105 ro38 +330.000
2105 ro39 +8.243
2106 ro57 +32.201
</t>
        </r>
      </text>
    </comment>
    <comment ref="D534" authorId="1" shapeId="0">
      <text>
        <r>
          <rPr>
            <b/>
            <sz val="9"/>
            <color indexed="81"/>
            <rFont val="Tahoma"/>
            <family val="2"/>
            <charset val="238"/>
          </rPr>
          <t>Jana Holíková:</t>
        </r>
        <r>
          <rPr>
            <sz val="9"/>
            <color indexed="81"/>
            <rFont val="Tahoma"/>
            <family val="2"/>
            <charset val="238"/>
          </rPr>
          <t xml:space="preserve">
2103 ro19 +500.000
2103 ro20 -+90.000
2103 ro21 +79.385
2103 ro22 +267.145
2103 ro23 +213.939
2106 ro60 +-49.000</t>
        </r>
      </text>
    </comment>
    <comment ref="A541" authorId="1" shapeId="0">
      <text>
        <r>
          <rPr>
            <b/>
            <sz val="9"/>
            <color indexed="81"/>
            <rFont val="Tahoma"/>
            <family val="2"/>
            <charset val="238"/>
          </rPr>
          <t>Jana Holíková:</t>
        </r>
        <r>
          <rPr>
            <sz val="9"/>
            <color indexed="81"/>
            <rFont val="Tahoma"/>
            <family val="2"/>
            <charset val="238"/>
          </rPr>
          <t xml:space="preserve">
do 2018 - § 5262
od 2019 - § 5213</t>
        </r>
      </text>
    </comment>
    <comment ref="D546" authorId="1" shapeId="0">
      <text>
        <r>
          <rPr>
            <b/>
            <sz val="9"/>
            <color indexed="81"/>
            <rFont val="Tahoma"/>
            <family val="2"/>
            <charset val="238"/>
          </rPr>
          <t>Jana Holíková:</t>
        </r>
        <r>
          <rPr>
            <sz val="9"/>
            <color indexed="81"/>
            <rFont val="Tahoma"/>
            <family val="2"/>
            <charset val="238"/>
          </rPr>
          <t xml:space="preserve">
2103 ro11 -400.000</t>
        </r>
      </text>
    </comment>
    <comment ref="D549" authorId="2" shapeId="0">
      <text>
        <r>
          <rPr>
            <b/>
            <sz val="9"/>
            <color indexed="81"/>
            <rFont val="Tahoma"/>
            <family val="2"/>
            <charset val="238"/>
          </rPr>
          <t>Jana:</t>
        </r>
        <r>
          <rPr>
            <sz val="9"/>
            <color indexed="81"/>
            <rFont val="Tahoma"/>
            <family val="2"/>
            <charset val="238"/>
          </rPr>
          <t xml:space="preserve">
2104 ro31 úz13013
+  59.625  1041
+506.812,5 1045</t>
        </r>
      </text>
    </comment>
    <comment ref="D553" authorId="2" shapeId="0">
      <text>
        <r>
          <rPr>
            <b/>
            <sz val="9"/>
            <color indexed="81"/>
            <rFont val="Tahoma"/>
            <family val="2"/>
            <charset val="238"/>
          </rPr>
          <t>Jana:</t>
        </r>
        <r>
          <rPr>
            <sz val="9"/>
            <color indexed="81"/>
            <rFont val="Tahoma"/>
            <family val="2"/>
            <charset val="238"/>
          </rPr>
          <t xml:space="preserve">
2105 ro44 +-100.300</t>
        </r>
      </text>
    </comment>
    <comment ref="D557" authorId="1" shapeId="0">
      <text>
        <r>
          <rPr>
            <b/>
            <sz val="9"/>
            <color indexed="81"/>
            <rFont val="Tahoma"/>
            <family val="2"/>
            <charset val="238"/>
          </rPr>
          <t>Jana Holíková:</t>
        </r>
        <r>
          <rPr>
            <sz val="9"/>
            <color indexed="81"/>
            <rFont val="Tahoma"/>
            <family val="2"/>
            <charset val="238"/>
          </rPr>
          <t xml:space="preserve">
2103 ro18 +2.095.129</t>
        </r>
      </text>
    </comment>
    <comment ref="D560" authorId="1" shapeId="0">
      <text>
        <r>
          <rPr>
            <b/>
            <sz val="9"/>
            <color indexed="81"/>
            <rFont val="Tahoma"/>
            <family val="2"/>
            <charset val="238"/>
          </rPr>
          <t>Jana Holíková:</t>
        </r>
        <r>
          <rPr>
            <sz val="9"/>
            <color indexed="81"/>
            <rFont val="Tahoma"/>
            <family val="2"/>
            <charset val="238"/>
          </rPr>
          <t xml:space="preserve">
2103 ro11 -490.000
2105 ro43 
-1.137.306 +1.211.186
2106 ro53 +91.988</t>
        </r>
      </text>
    </comment>
    <comment ref="D561" authorId="2" shapeId="0">
      <text>
        <r>
          <rPr>
            <b/>
            <sz val="9"/>
            <color indexed="81"/>
            <rFont val="Tahoma"/>
            <family val="2"/>
            <charset val="238"/>
          </rPr>
          <t>Jana:</t>
        </r>
        <r>
          <rPr>
            <sz val="9"/>
            <color indexed="81"/>
            <rFont val="Tahoma"/>
            <family val="2"/>
            <charset val="238"/>
          </rPr>
          <t xml:space="preserve">
2105 ro44 +-3.467.650</t>
        </r>
      </text>
    </comment>
    <comment ref="D571" authorId="2" shapeId="0">
      <text>
        <r>
          <rPr>
            <b/>
            <sz val="9"/>
            <color indexed="81"/>
            <rFont val="Tahoma"/>
            <family val="2"/>
            <charset val="238"/>
          </rPr>
          <t>Jana:</t>
        </r>
        <r>
          <rPr>
            <sz val="9"/>
            <color indexed="81"/>
            <rFont val="Tahoma"/>
            <family val="2"/>
            <charset val="238"/>
          </rPr>
          <t xml:space="preserve">
2105 ro44 +-5.000</t>
        </r>
      </text>
    </comment>
    <comment ref="D572" authorId="1" shapeId="0">
      <text>
        <r>
          <rPr>
            <b/>
            <sz val="9"/>
            <color indexed="81"/>
            <rFont val="Tahoma"/>
            <family val="2"/>
            <charset val="238"/>
          </rPr>
          <t>Jana Holíková:</t>
        </r>
        <r>
          <rPr>
            <sz val="9"/>
            <color indexed="81"/>
            <rFont val="Tahoma"/>
            <family val="2"/>
            <charset val="238"/>
          </rPr>
          <t xml:space="preserve">
2103 ro28 +50.000</t>
        </r>
      </text>
    </comment>
    <comment ref="D578" authorId="1" shapeId="0">
      <text>
        <r>
          <rPr>
            <b/>
            <sz val="9"/>
            <color indexed="81"/>
            <rFont val="Tahoma"/>
            <family val="2"/>
            <charset val="238"/>
          </rPr>
          <t>Jana Holíková:</t>
        </r>
        <r>
          <rPr>
            <sz val="9"/>
            <color indexed="81"/>
            <rFont val="Tahoma"/>
            <family val="2"/>
            <charset val="238"/>
          </rPr>
          <t xml:space="preserve">
2103 ro11 -100.000</t>
        </r>
      </text>
    </comment>
    <comment ref="D597" authorId="1" shapeId="0">
      <text>
        <r>
          <rPr>
            <b/>
            <sz val="9"/>
            <color indexed="81"/>
            <rFont val="Tahoma"/>
            <family val="2"/>
            <charset val="238"/>
          </rPr>
          <t>Jana Holíková:</t>
        </r>
        <r>
          <rPr>
            <sz val="9"/>
            <color indexed="81"/>
            <rFont val="Tahoma"/>
            <family val="2"/>
            <charset val="238"/>
          </rPr>
          <t xml:space="preserve">
2103 ro26 -12.000
2104 ro34 -15.000
2105 ro49 -10.000</t>
        </r>
      </text>
    </comment>
    <comment ref="D600" authorId="1" shapeId="0">
      <text>
        <r>
          <rPr>
            <b/>
            <sz val="9"/>
            <color indexed="81"/>
            <rFont val="Tahoma"/>
            <family val="2"/>
            <charset val="238"/>
          </rPr>
          <t>Jana Holíková:</t>
        </r>
        <r>
          <rPr>
            <sz val="9"/>
            <color indexed="81"/>
            <rFont val="Tahoma"/>
            <family val="2"/>
            <charset val="238"/>
          </rPr>
          <t xml:space="preserve">
2103 ro26 +12.000
2104 ro34 +15.000
2105 ro49 +10.000</t>
        </r>
      </text>
    </comment>
    <comment ref="D604" authorId="2" shapeId="0">
      <text>
        <r>
          <rPr>
            <b/>
            <sz val="9"/>
            <color indexed="81"/>
            <rFont val="Tahoma"/>
            <family val="2"/>
            <charset val="238"/>
          </rPr>
          <t>Jana:</t>
        </r>
        <r>
          <rPr>
            <sz val="9"/>
            <color indexed="81"/>
            <rFont val="Tahoma"/>
            <family val="2"/>
            <charset val="238"/>
          </rPr>
          <t xml:space="preserve">
2104 ro35 
+541.000  0390
+2.820.000 2390
2105 ro40 +635.148
2106 ro59
+1.500 úz13305
-1.500 bez úz</t>
        </r>
      </text>
    </comment>
    <comment ref="D605" authorId="2" shapeId="0">
      <text>
        <r>
          <rPr>
            <b/>
            <sz val="9"/>
            <color indexed="81"/>
            <rFont val="Tahoma"/>
            <family val="2"/>
            <charset val="238"/>
          </rPr>
          <t>Jana:</t>
        </r>
        <r>
          <rPr>
            <sz val="9"/>
            <color indexed="81"/>
            <rFont val="Tahoma"/>
            <family val="2"/>
            <charset val="238"/>
          </rPr>
          <t xml:space="preserve">
2104 ro35
+190.000  1391
+550.000  2391
2105 ro40 +164.975</t>
        </r>
      </text>
    </comment>
    <comment ref="D606" authorId="2" shapeId="0">
      <text>
        <r>
          <rPr>
            <b/>
            <sz val="9"/>
            <color indexed="81"/>
            <rFont val="Tahoma"/>
            <family val="2"/>
            <charset val="238"/>
          </rPr>
          <t>Jana:</t>
        </r>
        <r>
          <rPr>
            <sz val="9"/>
            <color indexed="81"/>
            <rFont val="Tahoma"/>
            <family val="2"/>
            <charset val="238"/>
          </rPr>
          <t xml:space="preserve">
2104 ro35 
+1.483.000  2393
2105 ro40 +595.143</t>
        </r>
      </text>
    </comment>
    <comment ref="D615" authorId="2" shapeId="0">
      <text>
        <r>
          <rPr>
            <b/>
            <sz val="9"/>
            <color indexed="81"/>
            <rFont val="Tahoma"/>
            <family val="2"/>
            <charset val="238"/>
          </rPr>
          <t>Jana:</t>
        </r>
        <r>
          <rPr>
            <sz val="9"/>
            <color indexed="81"/>
            <rFont val="Tahoma"/>
            <family val="2"/>
            <charset val="238"/>
          </rPr>
          <t xml:space="preserve">
2105 ro37 +84.350</t>
        </r>
      </text>
    </comment>
    <comment ref="D618" authorId="2" shapeId="0">
      <text>
        <r>
          <rPr>
            <b/>
            <sz val="9"/>
            <color indexed="81"/>
            <rFont val="Tahoma"/>
            <family val="2"/>
            <charset val="238"/>
          </rPr>
          <t>Jana:</t>
        </r>
        <r>
          <rPr>
            <sz val="9"/>
            <color indexed="81"/>
            <rFont val="Tahoma"/>
            <family val="2"/>
            <charset val="238"/>
          </rPr>
          <t xml:space="preserve">
2105 ro37 +120.100</t>
        </r>
      </text>
    </comment>
    <comment ref="D626" authorId="2" shapeId="0">
      <text>
        <r>
          <rPr>
            <b/>
            <sz val="9"/>
            <color indexed="81"/>
            <rFont val="Tahoma"/>
            <family val="2"/>
            <charset val="238"/>
          </rPr>
          <t>Jana:</t>
        </r>
        <r>
          <rPr>
            <sz val="9"/>
            <color indexed="81"/>
            <rFont val="Tahoma"/>
            <family val="2"/>
            <charset val="238"/>
          </rPr>
          <t xml:space="preserve">
2104 ro30 +234.740
2105 ro37 +107.900</t>
        </r>
      </text>
    </comment>
    <comment ref="D628" authorId="2" shapeId="0">
      <text>
        <r>
          <rPr>
            <b/>
            <sz val="9"/>
            <color indexed="81"/>
            <rFont val="Tahoma"/>
            <family val="2"/>
            <charset val="238"/>
          </rPr>
          <t>Jana:</t>
        </r>
        <r>
          <rPr>
            <sz val="9"/>
            <color indexed="81"/>
            <rFont val="Tahoma"/>
            <family val="2"/>
            <charset val="238"/>
          </rPr>
          <t xml:space="preserve">
2104 ro30 -234.740</t>
        </r>
      </text>
    </comment>
    <comment ref="D631" authorId="2" shapeId="0">
      <text>
        <r>
          <rPr>
            <b/>
            <sz val="9"/>
            <color indexed="81"/>
            <rFont val="Tahoma"/>
            <family val="2"/>
            <charset val="238"/>
          </rPr>
          <t>Jana:</t>
        </r>
        <r>
          <rPr>
            <sz val="9"/>
            <color indexed="81"/>
            <rFont val="Tahoma"/>
            <family val="2"/>
            <charset val="238"/>
          </rPr>
          <t xml:space="preserve">
2106 ro52 +150.000</t>
        </r>
      </text>
    </comment>
    <comment ref="D632" authorId="2" shapeId="0">
      <text>
        <r>
          <rPr>
            <b/>
            <sz val="9"/>
            <color indexed="81"/>
            <rFont val="Tahoma"/>
            <family val="2"/>
            <charset val="238"/>
          </rPr>
          <t>Jana:</t>
        </r>
        <r>
          <rPr>
            <sz val="9"/>
            <color indexed="81"/>
            <rFont val="Tahoma"/>
            <family val="2"/>
            <charset val="238"/>
          </rPr>
          <t xml:space="preserve">
2106 ro52 +150.000</t>
        </r>
      </text>
    </comment>
    <comment ref="D639" authorId="1" shapeId="0">
      <text>
        <r>
          <rPr>
            <b/>
            <sz val="9"/>
            <color indexed="81"/>
            <rFont val="Tahoma"/>
            <family val="2"/>
            <charset val="238"/>
          </rPr>
          <t>Jana Holíková:</t>
        </r>
        <r>
          <rPr>
            <sz val="9"/>
            <color indexed="81"/>
            <rFont val="Tahoma"/>
            <family val="2"/>
            <charset val="238"/>
          </rPr>
          <t xml:space="preserve">
2103 ro17 -1.100.000</t>
        </r>
      </text>
    </comment>
    <comment ref="D642" authorId="2" shapeId="0">
      <text>
        <r>
          <rPr>
            <b/>
            <sz val="9"/>
            <color indexed="81"/>
            <rFont val="Tahoma"/>
            <family val="2"/>
            <charset val="238"/>
          </rPr>
          <t>Jana:</t>
        </r>
        <r>
          <rPr>
            <sz val="9"/>
            <color indexed="81"/>
            <rFont val="Tahoma"/>
            <family val="2"/>
            <charset val="238"/>
          </rPr>
          <t xml:space="preserve">
2100406 -6.600</t>
        </r>
      </text>
    </comment>
    <comment ref="D644" authorId="1" shapeId="0">
      <text>
        <r>
          <rPr>
            <b/>
            <sz val="9"/>
            <color indexed="81"/>
            <rFont val="Tahoma"/>
            <family val="2"/>
            <charset val="238"/>
          </rPr>
          <t>Jana Holíková:</t>
        </r>
        <r>
          <rPr>
            <sz val="9"/>
            <color indexed="81"/>
            <rFont val="Tahoma"/>
            <family val="2"/>
            <charset val="238"/>
          </rPr>
          <t xml:space="preserve">
2103 ro11 -100.000</t>
        </r>
      </text>
    </comment>
    <comment ref="D645" authorId="1" shapeId="0">
      <text>
        <r>
          <rPr>
            <b/>
            <sz val="9"/>
            <color indexed="81"/>
            <rFont val="Tahoma"/>
            <family val="2"/>
            <charset val="238"/>
          </rPr>
          <t>Jana Holíková:</t>
        </r>
        <r>
          <rPr>
            <sz val="9"/>
            <color indexed="81"/>
            <rFont val="Tahoma"/>
            <family val="2"/>
            <charset val="238"/>
          </rPr>
          <t xml:space="preserve">
2103 ro11 -400.000</t>
        </r>
      </text>
    </comment>
    <comment ref="D647" authorId="1" shapeId="0">
      <text>
        <r>
          <rPr>
            <b/>
            <sz val="9"/>
            <color indexed="81"/>
            <rFont val="Tahoma"/>
            <family val="2"/>
            <charset val="238"/>
          </rPr>
          <t>Jana Holíková:</t>
        </r>
        <r>
          <rPr>
            <sz val="9"/>
            <color indexed="81"/>
            <rFont val="Tahoma"/>
            <family val="2"/>
            <charset val="238"/>
          </rPr>
          <t xml:space="preserve">
2103 ro17 -1.142.000
210406 +6.600</t>
        </r>
      </text>
    </comment>
    <comment ref="D652" authorId="1" shapeId="0">
      <text>
        <r>
          <rPr>
            <b/>
            <sz val="9"/>
            <color indexed="81"/>
            <rFont val="Tahoma"/>
            <family val="2"/>
            <charset val="238"/>
          </rPr>
          <t>Jana Holíková:</t>
        </r>
        <r>
          <rPr>
            <sz val="9"/>
            <color indexed="81"/>
            <rFont val="Tahoma"/>
            <family val="2"/>
            <charset val="238"/>
          </rPr>
          <t xml:space="preserve">
2103 ro17 -600.000</t>
        </r>
      </text>
    </comment>
    <comment ref="D654" authorId="1" shapeId="0">
      <text>
        <r>
          <rPr>
            <b/>
            <sz val="9"/>
            <color indexed="81"/>
            <rFont val="Tahoma"/>
            <family val="2"/>
            <charset val="238"/>
          </rPr>
          <t>Jana Holíková:</t>
        </r>
        <r>
          <rPr>
            <sz val="9"/>
            <color indexed="81"/>
            <rFont val="Tahoma"/>
            <family val="2"/>
            <charset val="238"/>
          </rPr>
          <t xml:space="preserve">
2103 ro17 -850.000</t>
        </r>
      </text>
    </comment>
    <comment ref="D658" authorId="1" shapeId="0">
      <text>
        <r>
          <rPr>
            <b/>
            <sz val="9"/>
            <color indexed="81"/>
            <rFont val="Tahoma"/>
            <family val="2"/>
            <charset val="238"/>
          </rPr>
          <t>Jana Holíková:</t>
        </r>
        <r>
          <rPr>
            <sz val="9"/>
            <color indexed="81"/>
            <rFont val="Tahoma"/>
            <family val="2"/>
            <charset val="238"/>
          </rPr>
          <t xml:space="preserve">
2103 ro17 -700.000</t>
        </r>
      </text>
    </comment>
    <comment ref="D659" authorId="1" shapeId="0">
      <text>
        <r>
          <rPr>
            <b/>
            <sz val="9"/>
            <color indexed="81"/>
            <rFont val="Tahoma"/>
            <family val="2"/>
            <charset val="238"/>
          </rPr>
          <t>Jana Holíková:</t>
        </r>
        <r>
          <rPr>
            <sz val="9"/>
            <color indexed="81"/>
            <rFont val="Tahoma"/>
            <family val="2"/>
            <charset val="238"/>
          </rPr>
          <t xml:space="preserve">
2103 ro11 -600.000</t>
        </r>
      </text>
    </comment>
    <comment ref="D662" authorId="1" shapeId="0">
      <text>
        <r>
          <rPr>
            <b/>
            <sz val="9"/>
            <color indexed="81"/>
            <rFont val="Tahoma"/>
            <family val="2"/>
            <charset val="238"/>
          </rPr>
          <t>Jana Holíková:</t>
        </r>
        <r>
          <rPr>
            <sz val="9"/>
            <color indexed="81"/>
            <rFont val="Tahoma"/>
            <family val="2"/>
            <charset val="238"/>
          </rPr>
          <t xml:space="preserve">
2103 ro11 +15.000.000
2103 ro17 -     501.540</t>
        </r>
      </text>
    </comment>
    <comment ref="D665" authorId="2" shapeId="0">
      <text>
        <r>
          <rPr>
            <b/>
            <sz val="9"/>
            <color indexed="81"/>
            <rFont val="Tahoma"/>
            <family val="2"/>
            <charset val="238"/>
          </rPr>
          <t>Jana:</t>
        </r>
        <r>
          <rPr>
            <sz val="9"/>
            <color indexed="81"/>
            <rFont val="Tahoma"/>
            <family val="2"/>
            <charset val="238"/>
          </rPr>
          <t xml:space="preserve">
2105 ro48 -1.200.000</t>
        </r>
      </text>
    </comment>
    <comment ref="D667" authorId="1" shapeId="0">
      <text>
        <r>
          <rPr>
            <b/>
            <sz val="9"/>
            <color indexed="81"/>
            <rFont val="Tahoma"/>
            <family val="2"/>
            <charset val="238"/>
          </rPr>
          <t>Jana Holíková:</t>
        </r>
        <r>
          <rPr>
            <sz val="9"/>
            <color indexed="81"/>
            <rFont val="Tahoma"/>
            <family val="2"/>
            <charset val="238"/>
          </rPr>
          <t xml:space="preserve">
2103 ro17 +850.000</t>
        </r>
      </text>
    </comment>
    <comment ref="D670" authorId="1" shapeId="0">
      <text>
        <r>
          <rPr>
            <b/>
            <sz val="9"/>
            <color indexed="81"/>
            <rFont val="Tahoma"/>
            <family val="2"/>
            <charset val="238"/>
          </rPr>
          <t>Jana Holíková:</t>
        </r>
        <r>
          <rPr>
            <sz val="9"/>
            <color indexed="81"/>
            <rFont val="Tahoma"/>
            <family val="2"/>
            <charset val="238"/>
          </rPr>
          <t xml:space="preserve">
2103 ro11 -2.500.000</t>
        </r>
      </text>
    </comment>
    <comment ref="D671" authorId="1" shapeId="0">
      <text>
        <r>
          <rPr>
            <b/>
            <sz val="9"/>
            <color indexed="81"/>
            <rFont val="Tahoma"/>
            <family val="2"/>
            <charset val="238"/>
          </rPr>
          <t>Jana Holíková:</t>
        </r>
        <r>
          <rPr>
            <sz val="9"/>
            <color indexed="81"/>
            <rFont val="Tahoma"/>
            <family val="2"/>
            <charset val="238"/>
          </rPr>
          <t xml:space="preserve">
2103 ro11 -1.000.000
2105 ro46 +3.500.000</t>
        </r>
      </text>
    </comment>
    <comment ref="D676" authorId="1" shapeId="0">
      <text>
        <r>
          <rPr>
            <b/>
            <sz val="9"/>
            <color indexed="81"/>
            <rFont val="Tahoma"/>
            <family val="2"/>
            <charset val="238"/>
          </rPr>
          <t>Jana Holíková:</t>
        </r>
        <r>
          <rPr>
            <sz val="9"/>
            <color indexed="81"/>
            <rFont val="Tahoma"/>
            <family val="2"/>
            <charset val="238"/>
          </rPr>
          <t xml:space="preserve">
2103 -900.000</t>
        </r>
      </text>
    </comment>
    <comment ref="D687" authorId="1" shapeId="0">
      <text>
        <r>
          <rPr>
            <b/>
            <sz val="9"/>
            <color indexed="81"/>
            <rFont val="Tahoma"/>
            <family val="2"/>
            <charset val="238"/>
          </rPr>
          <t>Jana Holíková:</t>
        </r>
        <r>
          <rPr>
            <sz val="9"/>
            <color indexed="81"/>
            <rFont val="Tahoma"/>
            <family val="2"/>
            <charset val="238"/>
          </rPr>
          <t xml:space="preserve">
2103 ro17 -500.000</t>
        </r>
      </text>
    </comment>
    <comment ref="D699" authorId="1" shapeId="0">
      <text>
        <r>
          <rPr>
            <b/>
            <sz val="9"/>
            <color indexed="81"/>
            <rFont val="Tahoma"/>
            <family val="2"/>
            <charset val="238"/>
          </rPr>
          <t>Jana Holíková:</t>
        </r>
        <r>
          <rPr>
            <sz val="9"/>
            <color indexed="81"/>
            <rFont val="Tahoma"/>
            <family val="2"/>
            <charset val="238"/>
          </rPr>
          <t xml:space="preserve">
2103 ro14 -100.000</t>
        </r>
      </text>
    </comment>
    <comment ref="D700" authorId="1" shapeId="0">
      <text>
        <r>
          <rPr>
            <b/>
            <sz val="9"/>
            <color indexed="81"/>
            <rFont val="Tahoma"/>
            <family val="2"/>
            <charset val="238"/>
          </rPr>
          <t>Jana Holíková:</t>
        </r>
        <r>
          <rPr>
            <sz val="9"/>
            <color indexed="81"/>
            <rFont val="Tahoma"/>
            <family val="2"/>
            <charset val="238"/>
          </rPr>
          <t xml:space="preserve">
2103 ro11 -2.300.000</t>
        </r>
      </text>
    </comment>
    <comment ref="D702" authorId="2" shapeId="0">
      <text>
        <r>
          <rPr>
            <b/>
            <sz val="9"/>
            <color indexed="81"/>
            <rFont val="Tahoma"/>
            <family val="2"/>
            <charset val="238"/>
          </rPr>
          <t>Jana:</t>
        </r>
        <r>
          <rPr>
            <sz val="9"/>
            <color indexed="81"/>
            <rFont val="Tahoma"/>
            <family val="2"/>
            <charset val="238"/>
          </rPr>
          <t xml:space="preserve">
2105 ro48 
+6.000.000 +3.200.000
-2.000.000</t>
        </r>
      </text>
    </comment>
    <comment ref="D703" authorId="1" shapeId="0">
      <text>
        <r>
          <rPr>
            <b/>
            <sz val="9"/>
            <color indexed="81"/>
            <rFont val="Tahoma"/>
            <family val="2"/>
            <charset val="238"/>
          </rPr>
          <t>Jana Holíková:</t>
        </r>
        <r>
          <rPr>
            <sz val="9"/>
            <color indexed="81"/>
            <rFont val="Tahoma"/>
            <family val="2"/>
            <charset val="238"/>
          </rPr>
          <t xml:space="preserve">
2103 ro11 -600.000</t>
        </r>
      </text>
    </comment>
    <comment ref="D718" authorId="2" shapeId="0">
      <text>
        <r>
          <rPr>
            <b/>
            <sz val="9"/>
            <color indexed="81"/>
            <rFont val="Tahoma"/>
            <family val="2"/>
            <charset val="238"/>
          </rPr>
          <t>Jana:</t>
        </r>
        <r>
          <rPr>
            <sz val="9"/>
            <color indexed="81"/>
            <rFont val="Tahoma"/>
            <family val="2"/>
            <charset val="238"/>
          </rPr>
          <t xml:space="preserve">
2105 ro37 +10.700</t>
        </r>
      </text>
    </comment>
    <comment ref="D723" authorId="1" shapeId="0">
      <text>
        <r>
          <rPr>
            <b/>
            <sz val="9"/>
            <color indexed="81"/>
            <rFont val="Tahoma"/>
            <family val="2"/>
            <charset val="238"/>
          </rPr>
          <t>Jana Holíková:</t>
        </r>
        <r>
          <rPr>
            <sz val="9"/>
            <color indexed="81"/>
            <rFont val="Tahoma"/>
            <family val="2"/>
            <charset val="238"/>
          </rPr>
          <t xml:space="preserve">
2103 ro14 +48.594,03</t>
        </r>
      </text>
    </comment>
    <comment ref="D728" authorId="1" shapeId="0">
      <text>
        <r>
          <rPr>
            <b/>
            <sz val="9"/>
            <color indexed="81"/>
            <rFont val="Tahoma"/>
            <family val="2"/>
            <charset val="238"/>
          </rPr>
          <t>Jana Holíková:</t>
        </r>
        <r>
          <rPr>
            <sz val="9"/>
            <color indexed="81"/>
            <rFont val="Tahoma"/>
            <family val="2"/>
            <charset val="238"/>
          </rPr>
          <t xml:space="preserve">
2103 ro17 -400.000</t>
        </r>
      </text>
    </comment>
    <comment ref="D731" authorId="2" shapeId="0">
      <text>
        <r>
          <rPr>
            <b/>
            <sz val="9"/>
            <color indexed="81"/>
            <rFont val="Tahoma"/>
            <family val="2"/>
            <charset val="238"/>
          </rPr>
          <t>Jana:</t>
        </r>
        <r>
          <rPr>
            <sz val="9"/>
            <color indexed="81"/>
            <rFont val="Tahoma"/>
            <family val="2"/>
            <charset val="238"/>
          </rPr>
          <t xml:space="preserve">
2105 ro46 +350.000
</t>
        </r>
      </text>
    </comment>
    <comment ref="D735" authorId="1" shapeId="0">
      <text>
        <r>
          <rPr>
            <b/>
            <sz val="9"/>
            <color indexed="81"/>
            <rFont val="Tahoma"/>
            <family val="2"/>
            <charset val="238"/>
          </rPr>
          <t>Jana Holíková:</t>
        </r>
        <r>
          <rPr>
            <sz val="9"/>
            <color indexed="81"/>
            <rFont val="Tahoma"/>
            <family val="2"/>
            <charset val="238"/>
          </rPr>
          <t xml:space="preserve">
2103 ro17 -300.000</t>
        </r>
      </text>
    </comment>
    <comment ref="D755" authorId="1" shapeId="0">
      <text>
        <r>
          <rPr>
            <b/>
            <sz val="9"/>
            <color indexed="81"/>
            <rFont val="Tahoma"/>
            <family val="2"/>
            <charset val="238"/>
          </rPr>
          <t>Jana Holíková:</t>
        </r>
        <r>
          <rPr>
            <sz val="9"/>
            <color indexed="81"/>
            <rFont val="Tahoma"/>
            <family val="2"/>
            <charset val="238"/>
          </rPr>
          <t xml:space="preserve">
2103 ro17 -4.750.000
2105 ro45 +1.450.000</t>
        </r>
      </text>
    </comment>
    <comment ref="D756" authorId="1" shapeId="0">
      <text>
        <r>
          <rPr>
            <b/>
            <sz val="9"/>
            <color indexed="81"/>
            <rFont val="Tahoma"/>
            <family val="2"/>
            <charset val="238"/>
          </rPr>
          <t>Jana Holíková:</t>
        </r>
        <r>
          <rPr>
            <sz val="9"/>
            <color indexed="81"/>
            <rFont val="Tahoma"/>
            <family val="2"/>
            <charset val="238"/>
          </rPr>
          <t xml:space="preserve">
2103 ro17 -3.300.000</t>
        </r>
      </text>
    </comment>
    <comment ref="D759" authorId="1" shapeId="0">
      <text>
        <r>
          <rPr>
            <b/>
            <sz val="9"/>
            <color indexed="81"/>
            <rFont val="Tahoma"/>
            <family val="2"/>
            <charset val="238"/>
          </rPr>
          <t>Jana Holíková:</t>
        </r>
        <r>
          <rPr>
            <sz val="9"/>
            <color indexed="81"/>
            <rFont val="Tahoma"/>
            <family val="2"/>
            <charset val="238"/>
          </rPr>
          <t xml:space="preserve">
2103 ro17 -2.000.000</t>
        </r>
      </text>
    </comment>
    <comment ref="D760" authorId="2" shapeId="0">
      <text>
        <r>
          <rPr>
            <b/>
            <sz val="9"/>
            <color indexed="81"/>
            <rFont val="Tahoma"/>
            <family val="2"/>
            <charset val="238"/>
          </rPr>
          <t>Jana:</t>
        </r>
        <r>
          <rPr>
            <sz val="9"/>
            <color indexed="81"/>
            <rFont val="Tahoma"/>
            <family val="2"/>
            <charset val="238"/>
          </rPr>
          <t xml:space="preserve">
2105 ro46 -2.000.000</t>
        </r>
      </text>
    </comment>
    <comment ref="D761" authorId="2" shapeId="0">
      <text>
        <r>
          <rPr>
            <b/>
            <sz val="9"/>
            <color indexed="81"/>
            <rFont val="Tahoma"/>
            <family val="2"/>
            <charset val="238"/>
          </rPr>
          <t>Jana:</t>
        </r>
        <r>
          <rPr>
            <sz val="9"/>
            <color indexed="81"/>
            <rFont val="Tahoma"/>
            <family val="2"/>
            <charset val="238"/>
          </rPr>
          <t xml:space="preserve">
2105 ro46 -1.250.000</t>
        </r>
      </text>
    </comment>
    <comment ref="D762" authorId="2" shapeId="0">
      <text>
        <r>
          <rPr>
            <b/>
            <sz val="9"/>
            <color indexed="81"/>
            <rFont val="Tahoma"/>
            <family val="2"/>
            <charset val="238"/>
          </rPr>
          <t>Jana:</t>
        </r>
        <r>
          <rPr>
            <sz val="9"/>
            <color indexed="81"/>
            <rFont val="Tahoma"/>
            <family val="2"/>
            <charset val="238"/>
          </rPr>
          <t xml:space="preserve">
2105 ro46 -600.000</t>
        </r>
      </text>
    </comment>
    <comment ref="D770" authorId="2" shapeId="0">
      <text>
        <r>
          <rPr>
            <b/>
            <sz val="9"/>
            <color indexed="81"/>
            <rFont val="Tahoma"/>
            <family val="2"/>
            <charset val="238"/>
          </rPr>
          <t>Jana:</t>
        </r>
        <r>
          <rPr>
            <sz val="9"/>
            <color indexed="81"/>
            <rFont val="Tahoma"/>
            <family val="2"/>
            <charset val="238"/>
          </rPr>
          <t xml:space="preserve">
2105 ro45 -1.450.000</t>
        </r>
      </text>
    </comment>
    <comment ref="D788" authorId="1" shapeId="0">
      <text>
        <r>
          <rPr>
            <b/>
            <sz val="9"/>
            <color indexed="81"/>
            <rFont val="Tahoma"/>
            <family val="2"/>
            <charset val="238"/>
          </rPr>
          <t>Jana Holíková:</t>
        </r>
        <r>
          <rPr>
            <sz val="9"/>
            <color indexed="81"/>
            <rFont val="Tahoma"/>
            <family val="2"/>
            <charset val="238"/>
          </rPr>
          <t xml:space="preserve">
2102 ro5
+11.654,14
</t>
        </r>
      </text>
    </comment>
    <comment ref="D791" authorId="1" shapeId="0">
      <text>
        <r>
          <rPr>
            <b/>
            <sz val="9"/>
            <color indexed="81"/>
            <rFont val="Tahoma"/>
            <family val="2"/>
            <charset val="238"/>
          </rPr>
          <t>Jana Holíková:</t>
        </r>
        <r>
          <rPr>
            <sz val="9"/>
            <color indexed="81"/>
            <rFont val="Tahoma"/>
            <family val="2"/>
            <charset val="238"/>
          </rPr>
          <t xml:space="preserve">
2103 ro11 -131.390</t>
        </r>
      </text>
    </comment>
    <comment ref="D793" authorId="1" shapeId="0">
      <text>
        <r>
          <rPr>
            <b/>
            <sz val="9"/>
            <color indexed="81"/>
            <rFont val="Tahoma"/>
            <family val="2"/>
            <charset val="238"/>
          </rPr>
          <t>Jana Holíková:</t>
        </r>
        <r>
          <rPr>
            <sz val="9"/>
            <color indexed="81"/>
            <rFont val="Tahoma"/>
            <family val="2"/>
            <charset val="238"/>
          </rPr>
          <t xml:space="preserve">
2103 ro15 +133.612</t>
        </r>
      </text>
    </comment>
    <comment ref="D797" authorId="2" shapeId="0">
      <text>
        <r>
          <rPr>
            <b/>
            <sz val="9"/>
            <color indexed="81"/>
            <rFont val="Tahoma"/>
            <family val="2"/>
            <charset val="238"/>
          </rPr>
          <t>Jana:</t>
        </r>
        <r>
          <rPr>
            <sz val="9"/>
            <color indexed="81"/>
            <rFont val="Tahoma"/>
            <family val="2"/>
            <charset val="238"/>
          </rPr>
          <t xml:space="preserve">
2105 ro47 -1.962.450</t>
        </r>
      </text>
    </comment>
    <comment ref="D803" authorId="2" shapeId="0">
      <text>
        <r>
          <rPr>
            <b/>
            <sz val="9"/>
            <color indexed="81"/>
            <rFont val="Tahoma"/>
            <family val="2"/>
            <charset val="238"/>
          </rPr>
          <t>Jana:</t>
        </r>
        <r>
          <rPr>
            <sz val="9"/>
            <color indexed="81"/>
            <rFont val="Tahoma"/>
            <family val="2"/>
            <charset val="238"/>
          </rPr>
          <t xml:space="preserve">
2106 ro58 +16.912
</t>
        </r>
      </text>
    </comment>
    <comment ref="D804" authorId="1" shapeId="0">
      <text>
        <r>
          <rPr>
            <b/>
            <sz val="9"/>
            <color indexed="81"/>
            <rFont val="Tahoma"/>
            <family val="2"/>
            <charset val="238"/>
          </rPr>
          <t>Jana Holíková:</t>
        </r>
        <r>
          <rPr>
            <sz val="9"/>
            <color indexed="81"/>
            <rFont val="Tahoma"/>
            <family val="2"/>
            <charset val="238"/>
          </rPr>
          <t xml:space="preserve">
2102 ro8 +5.719</t>
        </r>
      </text>
    </comment>
    <comment ref="D805" authorId="1" shapeId="0">
      <text>
        <r>
          <rPr>
            <b/>
            <sz val="9"/>
            <color indexed="81"/>
            <rFont val="Tahoma"/>
            <family val="2"/>
            <charset val="238"/>
          </rPr>
          <t>Jana Holíková:</t>
        </r>
        <r>
          <rPr>
            <sz val="9"/>
            <color indexed="81"/>
            <rFont val="Tahoma"/>
            <family val="2"/>
            <charset val="238"/>
          </rPr>
          <t xml:space="preserve">
2103 ro16 +14.168,64</t>
        </r>
      </text>
    </comment>
    <comment ref="D807" authorId="1" shapeId="0">
      <text>
        <r>
          <rPr>
            <b/>
            <sz val="9"/>
            <color indexed="81"/>
            <rFont val="Tahoma"/>
            <family val="2"/>
            <charset val="238"/>
          </rPr>
          <t>Jana Holíková:</t>
        </r>
        <r>
          <rPr>
            <sz val="9"/>
            <color indexed="81"/>
            <rFont val="Tahoma"/>
            <family val="2"/>
            <charset val="238"/>
          </rPr>
          <t xml:space="preserve">
2102 ro5 +1.037.625,27
2102 ro6 +         800
2102 ro8 -       5.719
2102 ro9 +2.888.353,24
2102 ro10 -  133.544,53
2103 ro11 +240.528,48
2103 ro12 -263.145,58
2103 RO14 +51.405,97
2103 ro15 -133.612
2103 ro16 -74.168,64
2103 ro17 +2.168.620
2103 ro19 -500.000 
2103 ro21 -79.385
2103 ro22 -267.145
2103 ro23 -213.939
2103 ro25 -2.000.000
2103 ro27 -100.000-100.000
2103 ro28 -50.000-50.000
2104 ro29 +1.380
2104 ro32 +84.689,93
2104 ro33 +1.267
2104 ro28 opr +150.000
2105 ro37 -500.000
2105 ro38 
+2.000.000 +1.000.000 +300.000
2105 ro41 +8.000.000
2105 ro42 +1.026.933,11
2106 ro54 +167.860</t>
        </r>
      </text>
    </comment>
  </commentList>
</comments>
</file>

<file path=xl/comments3.xml><?xml version="1.0" encoding="utf-8"?>
<comments xmlns="http://schemas.openxmlformats.org/spreadsheetml/2006/main">
  <authors>
    <author>Jana Holíková</author>
    <author>Ing. Jana Holíková</author>
    <author>Jana</author>
    <author>Gabriela Vlčková</author>
  </authors>
  <commentList>
    <comment ref="D11" authorId="0" shapeId="0">
      <text>
        <r>
          <rPr>
            <b/>
            <sz val="9"/>
            <color indexed="81"/>
            <rFont val="Tahoma"/>
            <charset val="1"/>
          </rPr>
          <t>Jana Holíková:</t>
        </r>
        <r>
          <rPr>
            <sz val="9"/>
            <color indexed="81"/>
            <rFont val="Tahoma"/>
            <charset val="1"/>
          </rPr>
          <t xml:space="preserve">
= celk UR - ř.4220 + SF</t>
        </r>
      </text>
    </comment>
    <comment ref="K11" authorId="1" shapeId="0">
      <text>
        <r>
          <rPr>
            <b/>
            <sz val="9"/>
            <color indexed="81"/>
            <rFont val="Tahoma"/>
            <family val="2"/>
            <charset val="238"/>
          </rPr>
          <t>Ing. Jana Holíková:</t>
        </r>
        <r>
          <rPr>
            <sz val="9"/>
            <color indexed="81"/>
            <rFont val="Tahoma"/>
            <family val="2"/>
            <charset val="238"/>
          </rPr>
          <t xml:space="preserve">
040 ř.4430-4220 + SF ř.4281
nebo celk výdaje - tř6
nebo
min Závěrečný propočet dle výkazu</t>
        </r>
      </text>
    </comment>
    <comment ref="D12" authorId="0" shapeId="0">
      <text>
        <r>
          <rPr>
            <b/>
            <sz val="9"/>
            <color indexed="81"/>
            <rFont val="Tahoma"/>
            <charset val="1"/>
          </rPr>
          <t>Jana Holíková:</t>
        </r>
        <r>
          <rPr>
            <sz val="9"/>
            <color indexed="81"/>
            <rFont val="Tahoma"/>
            <charset val="1"/>
          </rPr>
          <t xml:space="preserve">
= ř.4220 UR</t>
        </r>
      </text>
    </comment>
    <comment ref="K12" authorId="1" shapeId="0">
      <text>
        <r>
          <rPr>
            <b/>
            <sz val="9"/>
            <color indexed="81"/>
            <rFont val="Tahoma"/>
            <family val="2"/>
            <charset val="238"/>
          </rPr>
          <t>Ing. Jana Holíková:</t>
        </r>
        <r>
          <rPr>
            <sz val="9"/>
            <color indexed="81"/>
            <rFont val="Tahoma"/>
            <family val="2"/>
            <charset val="238"/>
          </rPr>
          <t xml:space="preserve">
040 ř.4220
nebo
min Závěrečný propočet
dle výkazu</t>
        </r>
      </text>
    </comment>
    <comment ref="D54" authorId="0" shapeId="0">
      <text>
        <r>
          <rPr>
            <b/>
            <sz val="9"/>
            <color indexed="81"/>
            <rFont val="Tahoma"/>
            <family val="2"/>
            <charset val="238"/>
          </rPr>
          <t>Jana Holíková:</t>
        </r>
        <r>
          <rPr>
            <sz val="9"/>
            <color indexed="81"/>
            <rFont val="Tahoma"/>
            <family val="2"/>
            <charset val="238"/>
          </rPr>
          <t xml:space="preserve">
2103 ro17 -29.857.260</t>
        </r>
      </text>
    </comment>
    <comment ref="D55" authorId="0" shapeId="0">
      <text>
        <r>
          <rPr>
            <b/>
            <sz val="9"/>
            <color indexed="81"/>
            <rFont val="Tahoma"/>
            <family val="2"/>
            <charset val="238"/>
          </rPr>
          <t>Jana Holíková:</t>
        </r>
        <r>
          <rPr>
            <sz val="9"/>
            <color indexed="81"/>
            <rFont val="Tahoma"/>
            <family val="2"/>
            <charset val="238"/>
          </rPr>
          <t xml:space="preserve">
2103 ro17 -3.427.100</t>
        </r>
      </text>
    </comment>
    <comment ref="D56" authorId="0" shapeId="0">
      <text>
        <r>
          <rPr>
            <b/>
            <sz val="9"/>
            <color indexed="81"/>
            <rFont val="Tahoma"/>
            <family val="2"/>
            <charset val="238"/>
          </rPr>
          <t>Jana Holíková:</t>
        </r>
        <r>
          <rPr>
            <sz val="9"/>
            <color indexed="81"/>
            <rFont val="Tahoma"/>
            <family val="2"/>
            <charset val="238"/>
          </rPr>
          <t xml:space="preserve">
2103 ro17 +406.600</t>
        </r>
      </text>
    </comment>
    <comment ref="D57" authorId="0" shapeId="0">
      <text>
        <r>
          <rPr>
            <b/>
            <sz val="9"/>
            <color indexed="81"/>
            <rFont val="Tahoma"/>
            <family val="2"/>
            <charset val="238"/>
          </rPr>
          <t>Jana Holíková:</t>
        </r>
        <r>
          <rPr>
            <sz val="9"/>
            <color indexed="81"/>
            <rFont val="Tahoma"/>
            <family val="2"/>
            <charset val="238"/>
          </rPr>
          <t xml:space="preserve">
2103 ro17 -18.680</t>
        </r>
      </text>
    </comment>
    <comment ref="D58" authorId="0" shapeId="0">
      <text>
        <r>
          <rPr>
            <b/>
            <sz val="9"/>
            <color indexed="81"/>
            <rFont val="Tahoma"/>
            <family val="2"/>
            <charset val="238"/>
          </rPr>
          <t>Jana Holíková:</t>
        </r>
        <r>
          <rPr>
            <sz val="9"/>
            <color indexed="81"/>
            <rFont val="Tahoma"/>
            <family val="2"/>
            <charset val="238"/>
          </rPr>
          <t xml:space="preserve">
2103 ro17 +4.322.760
2110 ro101 +15.000.000</t>
        </r>
      </text>
    </comment>
    <comment ref="D59" authorId="2" shapeId="0">
      <text>
        <r>
          <rPr>
            <b/>
            <sz val="9"/>
            <color indexed="81"/>
            <rFont val="Tahoma"/>
            <family val="2"/>
            <charset val="238"/>
          </rPr>
          <t>Jana:</t>
        </r>
        <r>
          <rPr>
            <sz val="9"/>
            <color indexed="81"/>
            <rFont val="Tahoma"/>
            <family val="2"/>
            <charset val="238"/>
          </rPr>
          <t xml:space="preserve">
2105 ro47 -1.962.450
2109 ro47/1 
+1.962.450 -1.962.250</t>
        </r>
      </text>
    </comment>
    <comment ref="D60" authorId="0" shapeId="0">
      <text>
        <r>
          <rPr>
            <b/>
            <sz val="9"/>
            <color indexed="81"/>
            <rFont val="Tahoma"/>
            <family val="2"/>
            <charset val="238"/>
          </rPr>
          <t>Jana Holíková:</t>
        </r>
        <r>
          <rPr>
            <sz val="9"/>
            <color indexed="81"/>
            <rFont val="Tahoma"/>
            <family val="2"/>
            <charset val="238"/>
          </rPr>
          <t xml:space="preserve">
2103 ro17 +22.643.960</t>
        </r>
      </text>
    </comment>
    <comment ref="D61" authorId="0" shapeId="0">
      <text>
        <r>
          <rPr>
            <b/>
            <sz val="9"/>
            <color indexed="81"/>
            <rFont val="Tahoma"/>
            <family val="2"/>
            <charset val="238"/>
          </rPr>
          <t>Jana Holíková:</t>
        </r>
        <r>
          <rPr>
            <sz val="9"/>
            <color indexed="81"/>
            <rFont val="Tahoma"/>
            <family val="2"/>
            <charset val="238"/>
          </rPr>
          <t xml:space="preserve">
2108 ro51/1 +28.054,20</t>
        </r>
      </text>
    </comment>
    <comment ref="D62" authorId="2" shapeId="0">
      <text>
        <r>
          <rPr>
            <b/>
            <sz val="9"/>
            <color indexed="81"/>
            <rFont val="Tahoma"/>
            <family val="2"/>
            <charset val="238"/>
          </rPr>
          <t>Jana:</t>
        </r>
        <r>
          <rPr>
            <sz val="9"/>
            <color indexed="81"/>
            <rFont val="Tahoma"/>
            <family val="2"/>
            <charset val="238"/>
          </rPr>
          <t xml:space="preserve">
2106 ro51 +15.000</t>
        </r>
      </text>
    </comment>
    <comment ref="D63" authorId="0" shapeId="0">
      <text>
        <r>
          <rPr>
            <b/>
            <sz val="9"/>
            <color indexed="81"/>
            <rFont val="Tahoma"/>
            <family val="2"/>
            <charset val="238"/>
          </rPr>
          <t>Jana Holíková:</t>
        </r>
        <r>
          <rPr>
            <sz val="9"/>
            <color indexed="81"/>
            <rFont val="Tahoma"/>
            <family val="2"/>
            <charset val="238"/>
          </rPr>
          <t xml:space="preserve">
2108 ro51/1 +2.800</t>
        </r>
      </text>
    </comment>
    <comment ref="D67" authorId="0" shapeId="0">
      <text>
        <r>
          <rPr>
            <b/>
            <sz val="9"/>
            <color indexed="81"/>
            <rFont val="Tahoma"/>
            <family val="2"/>
            <charset val="238"/>
          </rPr>
          <t>Jana Holíková:</t>
        </r>
        <r>
          <rPr>
            <sz val="9"/>
            <color indexed="81"/>
            <rFont val="Tahoma"/>
            <family val="2"/>
            <charset val="238"/>
          </rPr>
          <t xml:space="preserve">
2108 ro81 -90.000</t>
        </r>
      </text>
    </comment>
    <comment ref="D72" authorId="0" shapeId="0">
      <text>
        <r>
          <rPr>
            <b/>
            <sz val="9"/>
            <color indexed="81"/>
            <rFont val="Tahoma"/>
            <family val="2"/>
            <charset val="238"/>
          </rPr>
          <t>Jana Holíková:</t>
        </r>
        <r>
          <rPr>
            <sz val="9"/>
            <color indexed="81"/>
            <rFont val="Tahoma"/>
            <family val="2"/>
            <charset val="238"/>
          </rPr>
          <t xml:space="preserve">
2108 ro51/1 +27.041</t>
        </r>
      </text>
    </comment>
    <comment ref="D83" authorId="0" shapeId="0">
      <text>
        <r>
          <rPr>
            <b/>
            <sz val="9"/>
            <color indexed="81"/>
            <rFont val="Tahoma"/>
            <family val="2"/>
            <charset val="238"/>
          </rPr>
          <t>Jana Holíková:</t>
        </r>
        <r>
          <rPr>
            <sz val="9"/>
            <color indexed="81"/>
            <rFont val="Tahoma"/>
            <family val="2"/>
            <charset val="238"/>
          </rPr>
          <t xml:space="preserve">
2112 ro51/4 +141,77</t>
        </r>
      </text>
    </comment>
    <comment ref="D84" authorId="0" shapeId="0">
      <text>
        <r>
          <rPr>
            <b/>
            <sz val="9"/>
            <color indexed="81"/>
            <rFont val="Tahoma"/>
            <family val="2"/>
            <charset val="238"/>
          </rPr>
          <t>Jana Holíková:</t>
        </r>
        <r>
          <rPr>
            <sz val="9"/>
            <color indexed="81"/>
            <rFont val="Tahoma"/>
            <family val="2"/>
            <charset val="238"/>
          </rPr>
          <t xml:space="preserve">
2108 ro51/1 +20.125,05</t>
        </r>
      </text>
    </comment>
    <comment ref="D85" authorId="0" shapeId="0">
      <text>
        <r>
          <rPr>
            <b/>
            <sz val="9"/>
            <color indexed="81"/>
            <rFont val="Tahoma"/>
            <family val="2"/>
            <charset val="238"/>
          </rPr>
          <t>Jana Holíková:</t>
        </r>
        <r>
          <rPr>
            <sz val="9"/>
            <color indexed="81"/>
            <rFont val="Tahoma"/>
            <family val="2"/>
            <charset val="238"/>
          </rPr>
          <t xml:space="preserve">
2108 ro81 -2.400.000</t>
        </r>
      </text>
    </comment>
    <comment ref="D90" authorId="0" shapeId="0">
      <text>
        <r>
          <rPr>
            <b/>
            <sz val="9"/>
            <color indexed="81"/>
            <rFont val="Tahoma"/>
            <family val="2"/>
            <charset val="238"/>
          </rPr>
          <t>Jana Holíková:</t>
        </r>
        <r>
          <rPr>
            <sz val="9"/>
            <color indexed="81"/>
            <rFont val="Tahoma"/>
            <family val="2"/>
            <charset val="238"/>
          </rPr>
          <t xml:space="preserve">
2112 ro51/4 +1.140</t>
        </r>
      </text>
    </comment>
    <comment ref="D92" authorId="0" shapeId="0">
      <text>
        <r>
          <rPr>
            <b/>
            <sz val="9"/>
            <color indexed="81"/>
            <rFont val="Tahoma"/>
            <family val="2"/>
            <charset val="238"/>
          </rPr>
          <t>Jana Holíková:</t>
        </r>
        <r>
          <rPr>
            <sz val="9"/>
            <color indexed="81"/>
            <rFont val="Tahoma"/>
            <family val="2"/>
            <charset val="238"/>
          </rPr>
          <t xml:space="preserve">
2108 ro81 -320.000</t>
        </r>
      </text>
    </comment>
    <comment ref="D93" authorId="0" shapeId="0">
      <text>
        <r>
          <rPr>
            <b/>
            <sz val="9"/>
            <color indexed="81"/>
            <rFont val="Tahoma"/>
            <family val="2"/>
            <charset val="238"/>
          </rPr>
          <t>Jana Holíková:</t>
        </r>
        <r>
          <rPr>
            <sz val="9"/>
            <color indexed="81"/>
            <rFont val="Tahoma"/>
            <family val="2"/>
            <charset val="238"/>
          </rPr>
          <t xml:space="preserve">
2103 ro11 -1.000.000</t>
        </r>
      </text>
    </comment>
    <comment ref="D94" authorId="0" shapeId="0">
      <text>
        <r>
          <rPr>
            <b/>
            <sz val="9"/>
            <color indexed="81"/>
            <rFont val="Tahoma"/>
            <family val="2"/>
            <charset val="238"/>
          </rPr>
          <t>Jana Holíková:</t>
        </r>
        <r>
          <rPr>
            <sz val="9"/>
            <color indexed="81"/>
            <rFont val="Tahoma"/>
            <family val="2"/>
            <charset val="238"/>
          </rPr>
          <t xml:space="preserve">
2103 ro11 -300.000</t>
        </r>
      </text>
    </comment>
    <comment ref="D100" authorId="0" shapeId="0">
      <text>
        <r>
          <rPr>
            <b/>
            <sz val="9"/>
            <color indexed="81"/>
            <rFont val="Tahoma"/>
            <family val="2"/>
            <charset val="238"/>
          </rPr>
          <t>Jana Holíková:</t>
        </r>
        <r>
          <rPr>
            <sz val="9"/>
            <color indexed="81"/>
            <rFont val="Tahoma"/>
            <family val="2"/>
            <charset val="238"/>
          </rPr>
          <t xml:space="preserve">
2102 ro7 
+25.236 (0504)
+27.775 (0309)
+35.940 (0307)
2104 ro29 +1.380
2106 ro50 +1.155.128,50
2112 ro51/4 
+35.680 (0305)
+59.184 (0307)
+13.752 (0309)
+ 6.298,21 (0321)
+  660 (0350)</t>
        </r>
      </text>
    </comment>
    <comment ref="D101" authorId="0" shapeId="0">
      <text>
        <r>
          <rPr>
            <b/>
            <sz val="9"/>
            <color indexed="81"/>
            <rFont val="Tahoma"/>
            <family val="2"/>
            <charset val="238"/>
          </rPr>
          <t>Jana Holíková:</t>
        </r>
        <r>
          <rPr>
            <sz val="9"/>
            <color indexed="81"/>
            <rFont val="Tahoma"/>
            <family val="2"/>
            <charset val="238"/>
          </rPr>
          <t xml:space="preserve">
2111 ro117 +95.304,80</t>
        </r>
      </text>
    </comment>
    <comment ref="D105" authorId="0" shapeId="0">
      <text>
        <r>
          <rPr>
            <b/>
            <sz val="9"/>
            <color indexed="81"/>
            <rFont val="Tahoma"/>
            <family val="2"/>
            <charset val="238"/>
          </rPr>
          <t>Jana Holíková:</t>
        </r>
        <r>
          <rPr>
            <sz val="9"/>
            <color indexed="81"/>
            <rFont val="Tahoma"/>
            <family val="2"/>
            <charset val="238"/>
          </rPr>
          <t xml:space="preserve">
2112 ro51/4 +14.858,71</t>
        </r>
      </text>
    </comment>
    <comment ref="D106" authorId="0" shapeId="0">
      <text>
        <r>
          <rPr>
            <b/>
            <sz val="9"/>
            <color indexed="81"/>
            <rFont val="Tahoma"/>
            <family val="2"/>
            <charset val="238"/>
          </rPr>
          <t>Jana Holíková:</t>
        </r>
        <r>
          <rPr>
            <sz val="9"/>
            <color indexed="81"/>
            <rFont val="Tahoma"/>
            <family val="2"/>
            <charset val="238"/>
          </rPr>
          <t xml:space="preserve">
2108 ro51/1 
+144.503,85 2310440
+  88.113,51 231 0441</t>
        </r>
      </text>
    </comment>
    <comment ref="D107" authorId="0" shapeId="0">
      <text>
        <r>
          <rPr>
            <b/>
            <sz val="9"/>
            <color indexed="81"/>
            <rFont val="Tahoma"/>
            <family val="2"/>
            <charset val="238"/>
          </rPr>
          <t>Jana Holíková:</t>
        </r>
        <r>
          <rPr>
            <sz val="9"/>
            <color indexed="81"/>
            <rFont val="Tahoma"/>
            <family val="2"/>
            <charset val="238"/>
          </rPr>
          <t xml:space="preserve">
2103 ro11 -960
2108 ro51/1 +2.520</t>
        </r>
      </text>
    </comment>
    <comment ref="D108" authorId="0" shapeId="0">
      <text>
        <r>
          <rPr>
            <b/>
            <sz val="9"/>
            <color indexed="81"/>
            <rFont val="Tahoma"/>
            <family val="2"/>
            <charset val="238"/>
          </rPr>
          <t>Jana Holíková:</t>
        </r>
        <r>
          <rPr>
            <sz val="9"/>
            <color indexed="81"/>
            <rFont val="Tahoma"/>
            <family val="2"/>
            <charset val="238"/>
          </rPr>
          <t xml:space="preserve">
2103 ro11 -220.825</t>
        </r>
      </text>
    </comment>
    <comment ref="D111" authorId="0" shapeId="0">
      <text>
        <r>
          <rPr>
            <b/>
            <sz val="9"/>
            <color indexed="81"/>
            <rFont val="Tahoma"/>
            <family val="2"/>
            <charset val="238"/>
          </rPr>
          <t>Jana Holíková:</t>
        </r>
        <r>
          <rPr>
            <sz val="9"/>
            <color indexed="81"/>
            <rFont val="Tahoma"/>
            <family val="2"/>
            <charset val="238"/>
          </rPr>
          <t xml:space="preserve">
2103 ro11 -1.355.324 </t>
        </r>
      </text>
    </comment>
    <comment ref="D112" authorId="0" shapeId="0">
      <text>
        <r>
          <rPr>
            <b/>
            <sz val="9"/>
            <color indexed="81"/>
            <rFont val="Tahoma"/>
            <family val="2"/>
            <charset val="238"/>
          </rPr>
          <t>Jana Holíková:</t>
        </r>
        <r>
          <rPr>
            <sz val="9"/>
            <color indexed="81"/>
            <rFont val="Tahoma"/>
            <family val="2"/>
            <charset val="238"/>
          </rPr>
          <t xml:space="preserve">
2108 ro51/1 +538</t>
        </r>
      </text>
    </comment>
    <comment ref="D115" authorId="0" shapeId="0">
      <text>
        <r>
          <rPr>
            <b/>
            <sz val="9"/>
            <color indexed="81"/>
            <rFont val="Tahoma"/>
            <family val="2"/>
            <charset val="238"/>
          </rPr>
          <t>Jana Holíková:</t>
        </r>
        <r>
          <rPr>
            <sz val="9"/>
            <color indexed="81"/>
            <rFont val="Tahoma"/>
            <family val="2"/>
            <charset val="238"/>
          </rPr>
          <t xml:space="preserve">
2108 ro78 -0,08</t>
        </r>
      </text>
    </comment>
    <comment ref="D118" authorId="0" shapeId="0">
      <text>
        <r>
          <rPr>
            <b/>
            <sz val="9"/>
            <color indexed="81"/>
            <rFont val="Tahoma"/>
            <family val="2"/>
            <charset val="238"/>
          </rPr>
          <t>Jana Holíková:</t>
        </r>
        <r>
          <rPr>
            <sz val="9"/>
            <color indexed="81"/>
            <rFont val="Tahoma"/>
            <family val="2"/>
            <charset val="238"/>
          </rPr>
          <t xml:space="preserve">
2108 ro51/1 +4.300</t>
        </r>
      </text>
    </comment>
    <comment ref="D119" authorId="2" shapeId="0">
      <text>
        <r>
          <rPr>
            <b/>
            <sz val="9"/>
            <color indexed="81"/>
            <rFont val="Tahoma"/>
            <family val="2"/>
            <charset val="238"/>
          </rPr>
          <t>Jana:</t>
        </r>
        <r>
          <rPr>
            <sz val="9"/>
            <color indexed="81"/>
            <rFont val="Tahoma"/>
            <family val="2"/>
            <charset val="238"/>
          </rPr>
          <t xml:space="preserve">
2106 ro51 +10.000</t>
        </r>
      </text>
    </comment>
    <comment ref="D120" authorId="0" shapeId="0">
      <text>
        <r>
          <rPr>
            <b/>
            <sz val="9"/>
            <color indexed="81"/>
            <rFont val="Tahoma"/>
            <family val="2"/>
            <charset val="238"/>
          </rPr>
          <t>Jana Holíková:</t>
        </r>
        <r>
          <rPr>
            <sz val="9"/>
            <color indexed="81"/>
            <rFont val="Tahoma"/>
            <family val="2"/>
            <charset val="238"/>
          </rPr>
          <t xml:space="preserve">
2112 ro51/3 +269.297,10</t>
        </r>
      </text>
    </comment>
    <comment ref="D124" authorId="2" shapeId="0">
      <text>
        <r>
          <rPr>
            <b/>
            <sz val="9"/>
            <color indexed="81"/>
            <rFont val="Tahoma"/>
            <family val="2"/>
            <charset val="238"/>
          </rPr>
          <t>Jana:</t>
        </r>
        <r>
          <rPr>
            <sz val="9"/>
            <color indexed="81"/>
            <rFont val="Tahoma"/>
            <family val="2"/>
            <charset val="238"/>
          </rPr>
          <t xml:space="preserve">
2112 RO51/4 +6.750</t>
        </r>
      </text>
    </comment>
    <comment ref="D125" authorId="2" shapeId="0">
      <text>
        <r>
          <rPr>
            <b/>
            <sz val="9"/>
            <color indexed="81"/>
            <rFont val="Tahoma"/>
            <family val="2"/>
            <charset val="238"/>
          </rPr>
          <t>Jana:</t>
        </r>
        <r>
          <rPr>
            <sz val="9"/>
            <color indexed="81"/>
            <rFont val="Tahoma"/>
            <family val="2"/>
            <charset val="238"/>
          </rPr>
          <t xml:space="preserve">
2112 RO51/4 +42.348,85</t>
        </r>
      </text>
    </comment>
    <comment ref="D126" authorId="2" shapeId="0">
      <text>
        <r>
          <rPr>
            <b/>
            <sz val="9"/>
            <color indexed="81"/>
            <rFont val="Tahoma"/>
            <family val="2"/>
            <charset val="238"/>
          </rPr>
          <t>Jana:</t>
        </r>
        <r>
          <rPr>
            <sz val="9"/>
            <color indexed="81"/>
            <rFont val="Tahoma"/>
            <family val="2"/>
            <charset val="238"/>
          </rPr>
          <t xml:space="preserve">
2106 ro51 +143.744,55
</t>
        </r>
      </text>
    </comment>
    <comment ref="D127" authorId="2" shapeId="0">
      <text>
        <r>
          <rPr>
            <b/>
            <sz val="9"/>
            <color indexed="81"/>
            <rFont val="Tahoma"/>
            <family val="2"/>
            <charset val="238"/>
          </rPr>
          <t>Jana:</t>
        </r>
        <r>
          <rPr>
            <sz val="9"/>
            <color indexed="81"/>
            <rFont val="Tahoma"/>
            <family val="2"/>
            <charset val="238"/>
          </rPr>
          <t xml:space="preserve">
2106 ro51 +16.940 615
2112 ro51/3 
+120.000 (120) +15.672,16 (139)</t>
        </r>
      </text>
    </comment>
    <comment ref="D128" authorId="0" shapeId="0">
      <text>
        <r>
          <rPr>
            <b/>
            <sz val="9"/>
            <color indexed="81"/>
            <rFont val="Tahoma"/>
            <family val="2"/>
            <charset val="238"/>
          </rPr>
          <t>Jana Holíková:</t>
        </r>
        <r>
          <rPr>
            <sz val="9"/>
            <color indexed="81"/>
            <rFont val="Tahoma"/>
            <family val="2"/>
            <charset val="238"/>
          </rPr>
          <t xml:space="preserve">
2112 ro51/4 +4.000</t>
        </r>
      </text>
    </comment>
    <comment ref="D129" authorId="0" shapeId="0">
      <text>
        <r>
          <rPr>
            <b/>
            <sz val="9"/>
            <color indexed="81"/>
            <rFont val="Tahoma"/>
            <family val="2"/>
            <charset val="238"/>
          </rPr>
          <t>Jana Holíková:</t>
        </r>
        <r>
          <rPr>
            <sz val="9"/>
            <color indexed="81"/>
            <rFont val="Tahoma"/>
            <family val="2"/>
            <charset val="238"/>
          </rPr>
          <t xml:space="preserve">
2112 ro51/4 +1.500</t>
        </r>
      </text>
    </comment>
    <comment ref="D131" authorId="0" shapeId="0">
      <text>
        <r>
          <rPr>
            <b/>
            <sz val="9"/>
            <color indexed="81"/>
            <rFont val="Tahoma"/>
            <family val="2"/>
            <charset val="238"/>
          </rPr>
          <t>Jana Holíková:</t>
        </r>
        <r>
          <rPr>
            <sz val="9"/>
            <color indexed="81"/>
            <rFont val="Tahoma"/>
            <family val="2"/>
            <charset val="238"/>
          </rPr>
          <t xml:space="preserve">
2109 ro51/2 +100.000</t>
        </r>
      </text>
    </comment>
    <comment ref="D134" authorId="2" shapeId="0">
      <text>
        <r>
          <rPr>
            <b/>
            <sz val="9"/>
            <color indexed="81"/>
            <rFont val="Tahoma"/>
            <family val="2"/>
            <charset val="238"/>
          </rPr>
          <t>Jana:</t>
        </r>
        <r>
          <rPr>
            <sz val="9"/>
            <color indexed="81"/>
            <rFont val="Tahoma"/>
            <family val="2"/>
            <charset val="238"/>
          </rPr>
          <t xml:space="preserve">
2104 ro32 +84.689,93
</t>
        </r>
      </text>
    </comment>
    <comment ref="D136" authorId="0" shapeId="0">
      <text>
        <r>
          <rPr>
            <b/>
            <sz val="9"/>
            <color indexed="81"/>
            <rFont val="Tahoma"/>
            <family val="2"/>
            <charset val="238"/>
          </rPr>
          <t>Jana Holíková:</t>
        </r>
        <r>
          <rPr>
            <sz val="9"/>
            <color indexed="81"/>
            <rFont val="Tahoma"/>
            <family val="2"/>
            <charset val="238"/>
          </rPr>
          <t xml:space="preserve">
2102 ro5
+ 65.834,23 (0305)
+140.191,92 (0307)</t>
        </r>
      </text>
    </comment>
    <comment ref="D137" authorId="2" shapeId="0">
      <text>
        <r>
          <rPr>
            <b/>
            <sz val="9"/>
            <color indexed="81"/>
            <rFont val="Tahoma"/>
            <family val="2"/>
            <charset val="238"/>
          </rPr>
          <t>Jana:</t>
        </r>
        <r>
          <rPr>
            <sz val="9"/>
            <color indexed="81"/>
            <rFont val="Tahoma"/>
            <family val="2"/>
            <charset val="238"/>
          </rPr>
          <t xml:space="preserve">
2106 ro51 +26.490</t>
        </r>
      </text>
    </comment>
    <comment ref="D138" authorId="0" shapeId="0">
      <text>
        <r>
          <rPr>
            <b/>
            <sz val="9"/>
            <color indexed="81"/>
            <rFont val="Tahoma"/>
            <family val="2"/>
            <charset val="238"/>
          </rPr>
          <t>Jana Holíková:</t>
        </r>
        <r>
          <rPr>
            <sz val="9"/>
            <color indexed="81"/>
            <rFont val="Tahoma"/>
            <family val="2"/>
            <charset val="238"/>
          </rPr>
          <t xml:space="preserve">
2102 ro5
+308.971,67 (0321)
+25.523,77 (0322)
+77.151,21 (0323)
+30.113,25 (0325)</t>
        </r>
      </text>
    </comment>
    <comment ref="D139" authorId="2" shapeId="0">
      <text>
        <r>
          <rPr>
            <b/>
            <sz val="9"/>
            <color indexed="81"/>
            <rFont val="Tahoma"/>
            <family val="2"/>
            <charset val="238"/>
          </rPr>
          <t>Jana:</t>
        </r>
        <r>
          <rPr>
            <sz val="9"/>
            <color indexed="81"/>
            <rFont val="Tahoma"/>
            <family val="2"/>
            <charset val="238"/>
          </rPr>
          <t xml:space="preserve">
2108 ro75 +80.876,25</t>
        </r>
      </text>
    </comment>
    <comment ref="D140" authorId="2" shapeId="0">
      <text>
        <r>
          <rPr>
            <b/>
            <sz val="9"/>
            <color indexed="81"/>
            <rFont val="Tahoma"/>
            <family val="2"/>
            <charset val="238"/>
          </rPr>
          <t>Jana:</t>
        </r>
        <r>
          <rPr>
            <sz val="9"/>
            <color indexed="81"/>
            <rFont val="Tahoma"/>
            <family val="2"/>
            <charset val="238"/>
          </rPr>
          <t xml:space="preserve">
2107 ro73 +148.831,20</t>
        </r>
      </text>
    </comment>
    <comment ref="D141" authorId="2" shapeId="0">
      <text>
        <r>
          <rPr>
            <b/>
            <sz val="9"/>
            <color indexed="81"/>
            <rFont val="Tahoma"/>
            <family val="2"/>
            <charset val="238"/>
          </rPr>
          <t>Jana:</t>
        </r>
        <r>
          <rPr>
            <sz val="9"/>
            <color indexed="81"/>
            <rFont val="Tahoma"/>
            <family val="2"/>
            <charset val="238"/>
          </rPr>
          <t xml:space="preserve">
2108 ro76 +50.240,4</t>
        </r>
      </text>
    </comment>
    <comment ref="D142" authorId="2" shapeId="0">
      <text>
        <r>
          <rPr>
            <b/>
            <sz val="9"/>
            <color indexed="81"/>
            <rFont val="Tahoma"/>
            <family val="2"/>
            <charset val="238"/>
          </rPr>
          <t>Jana:</t>
        </r>
        <r>
          <rPr>
            <sz val="9"/>
            <color indexed="81"/>
            <rFont val="Tahoma"/>
            <family val="2"/>
            <charset val="238"/>
          </rPr>
          <t xml:space="preserve">
2110 ro96 +3.015</t>
        </r>
      </text>
    </comment>
    <comment ref="D143" authorId="2" shapeId="0">
      <text>
        <r>
          <rPr>
            <b/>
            <sz val="9"/>
            <color indexed="81"/>
            <rFont val="Tahoma"/>
            <family val="2"/>
            <charset val="238"/>
          </rPr>
          <t>Jana:</t>
        </r>
        <r>
          <rPr>
            <sz val="9"/>
            <color indexed="81"/>
            <rFont val="Tahoma"/>
            <family val="2"/>
            <charset val="238"/>
          </rPr>
          <t xml:space="preserve">
2106 ro58 +16.912</t>
        </r>
      </text>
    </comment>
    <comment ref="D144" authorId="2" shapeId="0">
      <text>
        <r>
          <rPr>
            <b/>
            <sz val="9"/>
            <color indexed="81"/>
            <rFont val="Tahoma"/>
            <family val="2"/>
            <charset val="238"/>
          </rPr>
          <t>Jana:</t>
        </r>
        <r>
          <rPr>
            <sz val="9"/>
            <color indexed="81"/>
            <rFont val="Tahoma"/>
            <family val="2"/>
            <charset val="238"/>
          </rPr>
          <t xml:space="preserve">
2111 ro113 115.408
</t>
        </r>
      </text>
    </comment>
    <comment ref="D145" authorId="2" shapeId="0">
      <text>
        <r>
          <rPr>
            <b/>
            <sz val="9"/>
            <color indexed="81"/>
            <rFont val="Tahoma"/>
            <family val="2"/>
            <charset val="238"/>
          </rPr>
          <t>Jana:</t>
        </r>
        <r>
          <rPr>
            <sz val="9"/>
            <color indexed="81"/>
            <rFont val="Tahoma"/>
            <family val="2"/>
            <charset val="238"/>
          </rPr>
          <t xml:space="preserve">
2106 ro51 +122.549
</t>
        </r>
      </text>
    </comment>
    <comment ref="D146" authorId="0" shapeId="0">
      <text>
        <r>
          <rPr>
            <b/>
            <sz val="9"/>
            <color indexed="81"/>
            <rFont val="Tahoma"/>
            <family val="2"/>
            <charset val="238"/>
          </rPr>
          <t>Jana Holíková:</t>
        </r>
        <r>
          <rPr>
            <sz val="9"/>
            <color indexed="81"/>
            <rFont val="Tahoma"/>
            <family val="2"/>
            <charset val="238"/>
          </rPr>
          <t xml:space="preserve">
2102 ro5
+58.335,59</t>
        </r>
      </text>
    </comment>
    <comment ref="D147" authorId="0" shapeId="0">
      <text>
        <r>
          <rPr>
            <b/>
            <sz val="9"/>
            <color indexed="81"/>
            <rFont val="Tahoma"/>
            <family val="2"/>
            <charset val="238"/>
          </rPr>
          <t>Jana Holíková:</t>
        </r>
        <r>
          <rPr>
            <sz val="9"/>
            <color indexed="81"/>
            <rFont val="Tahoma"/>
            <family val="2"/>
            <charset val="238"/>
          </rPr>
          <t xml:space="preserve">
2102 ro5
+92.743,77
</t>
        </r>
      </text>
    </comment>
    <comment ref="D148" authorId="0" shapeId="0">
      <text>
        <r>
          <rPr>
            <b/>
            <sz val="9"/>
            <color indexed="81"/>
            <rFont val="Tahoma"/>
            <family val="2"/>
            <charset val="238"/>
          </rPr>
          <t>Jana Holíková:</t>
        </r>
        <r>
          <rPr>
            <sz val="9"/>
            <color indexed="81"/>
            <rFont val="Tahoma"/>
            <family val="2"/>
            <charset val="238"/>
          </rPr>
          <t xml:space="preserve">
2108 ro51/1 +96.359</t>
        </r>
      </text>
    </comment>
    <comment ref="D149" authorId="0" shapeId="0">
      <text>
        <r>
          <rPr>
            <b/>
            <sz val="9"/>
            <color indexed="81"/>
            <rFont val="Tahoma"/>
            <family val="2"/>
            <charset val="238"/>
          </rPr>
          <t>Jana Holíková:</t>
        </r>
        <r>
          <rPr>
            <sz val="9"/>
            <color indexed="81"/>
            <rFont val="Tahoma"/>
            <family val="2"/>
            <charset val="238"/>
          </rPr>
          <t xml:space="preserve">
2102 ro5
+250.414</t>
        </r>
      </text>
    </comment>
    <comment ref="D150" authorId="0" shapeId="0">
      <text>
        <r>
          <rPr>
            <b/>
            <sz val="9"/>
            <color indexed="81"/>
            <rFont val="Tahoma"/>
            <family val="2"/>
            <charset val="238"/>
          </rPr>
          <t>Jana Holíková:</t>
        </r>
        <r>
          <rPr>
            <sz val="9"/>
            <color indexed="81"/>
            <rFont val="Tahoma"/>
            <family val="2"/>
            <charset val="238"/>
          </rPr>
          <t xml:space="preserve">
2102 ro9 +2.888.353,24</t>
        </r>
      </text>
    </comment>
    <comment ref="D151" authorId="2" shapeId="0">
      <text>
        <r>
          <rPr>
            <b/>
            <sz val="9"/>
            <color indexed="81"/>
            <rFont val="Tahoma"/>
            <family val="2"/>
            <charset val="238"/>
          </rPr>
          <t>Jana:</t>
        </r>
        <r>
          <rPr>
            <sz val="9"/>
            <color indexed="81"/>
            <rFont val="Tahoma"/>
            <family val="2"/>
            <charset val="238"/>
          </rPr>
          <t xml:space="preserve">
2106 ro51
+503.779,56  1131
+214.977       1132
+  2.616,80        1134
+37.565        1141
+58.168        1180</t>
        </r>
      </text>
    </comment>
    <comment ref="D152" authorId="2" shapeId="0">
      <text>
        <r>
          <rPr>
            <b/>
            <sz val="9"/>
            <color indexed="81"/>
            <rFont val="Tahoma"/>
            <family val="2"/>
            <charset val="238"/>
          </rPr>
          <t>Jana:</t>
        </r>
        <r>
          <rPr>
            <sz val="9"/>
            <color indexed="81"/>
            <rFont val="Tahoma"/>
            <family val="2"/>
            <charset val="238"/>
          </rPr>
          <t xml:space="preserve">
2106 ro51 +6.060</t>
        </r>
      </text>
    </comment>
    <comment ref="D153" authorId="0" shapeId="0">
      <text>
        <r>
          <rPr>
            <b/>
            <sz val="9"/>
            <color indexed="81"/>
            <rFont val="Tahoma"/>
            <family val="2"/>
            <charset val="238"/>
          </rPr>
          <t>Jana Holíková:</t>
        </r>
        <r>
          <rPr>
            <sz val="9"/>
            <color indexed="81"/>
            <rFont val="Tahoma"/>
            <family val="2"/>
            <charset val="238"/>
          </rPr>
          <t xml:space="preserve">
2112 ro51/4 +1.908</t>
        </r>
      </text>
    </comment>
    <comment ref="D154" authorId="0" shapeId="0">
      <text>
        <r>
          <rPr>
            <b/>
            <sz val="9"/>
            <color indexed="81"/>
            <rFont val="Tahoma"/>
            <family val="2"/>
            <charset val="238"/>
          </rPr>
          <t>Jana Holíková:</t>
        </r>
        <r>
          <rPr>
            <sz val="9"/>
            <color indexed="81"/>
            <rFont val="Tahoma"/>
            <family val="2"/>
            <charset val="238"/>
          </rPr>
          <t xml:space="preserve">
2112 ro51/4 
+111 +3000</t>
        </r>
      </text>
    </comment>
    <comment ref="D155" authorId="0" shapeId="0">
      <text>
        <r>
          <rPr>
            <b/>
            <sz val="9"/>
            <color indexed="81"/>
            <rFont val="Tahoma"/>
            <family val="2"/>
            <charset val="238"/>
          </rPr>
          <t>Jana Holíková:</t>
        </r>
        <r>
          <rPr>
            <sz val="9"/>
            <color indexed="81"/>
            <rFont val="Tahoma"/>
            <family val="2"/>
            <charset val="238"/>
          </rPr>
          <t xml:space="preserve">
2112 ro51/4 +11.302</t>
        </r>
      </text>
    </comment>
    <comment ref="D156" authorId="0" shapeId="0">
      <text>
        <r>
          <rPr>
            <b/>
            <sz val="9"/>
            <color indexed="81"/>
            <rFont val="Tahoma"/>
            <family val="2"/>
            <charset val="238"/>
          </rPr>
          <t>Jana Holíková:</t>
        </r>
        <r>
          <rPr>
            <sz val="9"/>
            <color indexed="81"/>
            <rFont val="Tahoma"/>
            <family val="2"/>
            <charset val="238"/>
          </rPr>
          <t xml:space="preserve">
2112 ro51/4 +4.647</t>
        </r>
      </text>
    </comment>
    <comment ref="D157" authorId="0" shapeId="0">
      <text>
        <r>
          <rPr>
            <b/>
            <sz val="9"/>
            <color indexed="81"/>
            <rFont val="Tahoma"/>
            <family val="2"/>
            <charset val="238"/>
          </rPr>
          <t>Jana Holíková:</t>
        </r>
        <r>
          <rPr>
            <sz val="9"/>
            <color indexed="81"/>
            <rFont val="Tahoma"/>
            <family val="2"/>
            <charset val="238"/>
          </rPr>
          <t xml:space="preserve">
2112 ro51/4 +127.000</t>
        </r>
      </text>
    </comment>
    <comment ref="D158" authorId="0" shapeId="0">
      <text>
        <r>
          <rPr>
            <b/>
            <sz val="9"/>
            <color indexed="81"/>
            <rFont val="Tahoma"/>
            <family val="2"/>
            <charset val="238"/>
          </rPr>
          <t>Jana Holíková:</t>
        </r>
        <r>
          <rPr>
            <sz val="9"/>
            <color indexed="81"/>
            <rFont val="Tahoma"/>
            <family val="2"/>
            <charset val="238"/>
          </rPr>
          <t xml:space="preserve">
2112 ro51/4 +80.648</t>
        </r>
      </text>
    </comment>
    <comment ref="D159" authorId="0" shapeId="0">
      <text>
        <r>
          <rPr>
            <b/>
            <sz val="9"/>
            <color indexed="81"/>
            <rFont val="Tahoma"/>
            <family val="2"/>
            <charset val="238"/>
          </rPr>
          <t>Jana Holíková:</t>
        </r>
        <r>
          <rPr>
            <sz val="9"/>
            <color indexed="81"/>
            <rFont val="Tahoma"/>
            <family val="2"/>
            <charset val="238"/>
          </rPr>
          <t xml:space="preserve">
2112 ro51/4 +108.240,05</t>
        </r>
      </text>
    </comment>
    <comment ref="D160" authorId="0" shapeId="0">
      <text>
        <r>
          <rPr>
            <b/>
            <sz val="9"/>
            <color indexed="81"/>
            <rFont val="Tahoma"/>
            <family val="2"/>
            <charset val="238"/>
          </rPr>
          <t>Jana Holíková:</t>
        </r>
        <r>
          <rPr>
            <sz val="9"/>
            <color indexed="81"/>
            <rFont val="Tahoma"/>
            <family val="2"/>
            <charset val="238"/>
          </rPr>
          <t xml:space="preserve">
2112 ro51/4 +8.425</t>
        </r>
      </text>
    </comment>
    <comment ref="D161" authorId="0" shapeId="0">
      <text>
        <r>
          <rPr>
            <b/>
            <sz val="9"/>
            <color indexed="81"/>
            <rFont val="Tahoma"/>
            <family val="2"/>
            <charset val="238"/>
          </rPr>
          <t>Jana Holíková:</t>
        </r>
        <r>
          <rPr>
            <sz val="9"/>
            <color indexed="81"/>
            <rFont val="Tahoma"/>
            <family val="2"/>
            <charset val="238"/>
          </rPr>
          <t xml:space="preserve">
2103 ro11 +49.000
prodej zbraní
2106 ro51 +9.075</t>
        </r>
      </text>
    </comment>
    <comment ref="D162" authorId="0" shapeId="0">
      <text>
        <r>
          <rPr>
            <b/>
            <sz val="9"/>
            <color indexed="81"/>
            <rFont val="Tahoma"/>
            <family val="2"/>
            <charset val="238"/>
          </rPr>
          <t>Jana Holíková:</t>
        </r>
        <r>
          <rPr>
            <sz val="9"/>
            <color indexed="81"/>
            <rFont val="Tahoma"/>
            <family val="2"/>
            <charset val="238"/>
          </rPr>
          <t xml:space="preserve">
2103 ro27 -100.000
2103 ro28 -50.000
2104 ro28opr +150.000
2112 ro51/4 +35.000</t>
        </r>
      </text>
    </comment>
    <comment ref="D163" authorId="0" shapeId="0">
      <text>
        <r>
          <rPr>
            <b/>
            <sz val="9"/>
            <color indexed="81"/>
            <rFont val="Tahoma"/>
            <family val="2"/>
            <charset val="238"/>
          </rPr>
          <t>Jana Holíková:</t>
        </r>
        <r>
          <rPr>
            <sz val="9"/>
            <color indexed="81"/>
            <rFont val="Tahoma"/>
            <family val="2"/>
            <charset val="238"/>
          </rPr>
          <t xml:space="preserve">
2102 ro6 +8.732
2105 ro39 +15.883
2106 ro51 +35.845 +6.600+20.000
2110 ro102
+49.991 +-11.221
2111 ro110
+140.582 +10.495</t>
        </r>
      </text>
    </comment>
    <comment ref="D165" authorId="2" shapeId="0">
      <text>
        <r>
          <rPr>
            <b/>
            <sz val="9"/>
            <color indexed="81"/>
            <rFont val="Tahoma"/>
            <family val="2"/>
            <charset val="238"/>
          </rPr>
          <t>Jana:</t>
        </r>
        <r>
          <rPr>
            <sz val="9"/>
            <color indexed="81"/>
            <rFont val="Tahoma"/>
            <family val="2"/>
            <charset val="238"/>
          </rPr>
          <t xml:space="preserve">
2104 ro33 + 1.267</t>
        </r>
      </text>
    </comment>
    <comment ref="D166" authorId="0" shapeId="0">
      <text>
        <r>
          <rPr>
            <b/>
            <sz val="9"/>
            <color indexed="81"/>
            <rFont val="Tahoma"/>
            <family val="2"/>
            <charset val="238"/>
          </rPr>
          <t>Jana Holíková:</t>
        </r>
        <r>
          <rPr>
            <sz val="9"/>
            <color indexed="81"/>
            <rFont val="Tahoma"/>
            <family val="2"/>
            <charset val="238"/>
          </rPr>
          <t xml:space="preserve">
2108 ro51/1 +812,69</t>
        </r>
      </text>
    </comment>
    <comment ref="D169" authorId="2" shapeId="0">
      <text>
        <r>
          <rPr>
            <b/>
            <sz val="9"/>
            <color indexed="81"/>
            <rFont val="Tahoma"/>
            <family val="2"/>
            <charset val="238"/>
          </rPr>
          <t>Jana:</t>
        </r>
        <r>
          <rPr>
            <sz val="9"/>
            <color indexed="81"/>
            <rFont val="Tahoma"/>
            <family val="2"/>
            <charset val="238"/>
          </rPr>
          <t xml:space="preserve">
2112 ro51/4 +18.042,79</t>
        </r>
      </text>
    </comment>
    <comment ref="D170" authorId="2" shapeId="0">
      <text>
        <r>
          <rPr>
            <b/>
            <sz val="9"/>
            <color indexed="81"/>
            <rFont val="Tahoma"/>
            <family val="2"/>
            <charset val="238"/>
          </rPr>
          <t>Jana:</t>
        </r>
        <r>
          <rPr>
            <sz val="9"/>
            <color indexed="81"/>
            <rFont val="Tahoma"/>
            <family val="2"/>
            <charset val="238"/>
          </rPr>
          <t xml:space="preserve">
2106 ro51 +80.840
2108 ro51/1 +59.160
2109 ro51/2 +80.000</t>
        </r>
      </text>
    </comment>
    <comment ref="D172" authorId="0" shapeId="0">
      <text>
        <r>
          <rPr>
            <b/>
            <sz val="9"/>
            <color indexed="81"/>
            <rFont val="Tahoma"/>
            <family val="2"/>
            <charset val="238"/>
          </rPr>
          <t>Jana Holíková:</t>
        </r>
        <r>
          <rPr>
            <sz val="9"/>
            <color indexed="81"/>
            <rFont val="Tahoma"/>
            <family val="2"/>
            <charset val="238"/>
          </rPr>
          <t xml:space="preserve">
2112 ro51/4 +72.600</t>
        </r>
      </text>
    </comment>
    <comment ref="D175" authorId="0" shapeId="0">
      <text>
        <r>
          <rPr>
            <b/>
            <sz val="9"/>
            <color indexed="81"/>
            <rFont val="Tahoma"/>
            <family val="2"/>
            <charset val="238"/>
          </rPr>
          <t>Jana Holíková:</t>
        </r>
        <r>
          <rPr>
            <sz val="9"/>
            <color indexed="81"/>
            <rFont val="Tahoma"/>
            <family val="2"/>
            <charset val="238"/>
          </rPr>
          <t xml:space="preserve">
2112 ro51/4 +4.500</t>
        </r>
      </text>
    </comment>
    <comment ref="D176" authorId="0" shapeId="0">
      <text>
        <r>
          <rPr>
            <b/>
            <sz val="9"/>
            <color indexed="81"/>
            <rFont val="Tahoma"/>
            <family val="2"/>
            <charset val="238"/>
          </rPr>
          <t>Jana Holíková:</t>
        </r>
        <r>
          <rPr>
            <sz val="9"/>
            <color indexed="81"/>
            <rFont val="Tahoma"/>
            <family val="2"/>
            <charset val="238"/>
          </rPr>
          <t xml:space="preserve">
2112 ro51/4 +2.000</t>
        </r>
      </text>
    </comment>
    <comment ref="D177" authorId="0" shapeId="0">
      <text>
        <r>
          <rPr>
            <b/>
            <sz val="9"/>
            <color indexed="81"/>
            <rFont val="Tahoma"/>
            <family val="2"/>
            <charset val="238"/>
          </rPr>
          <t>Jana Holíková:</t>
        </r>
        <r>
          <rPr>
            <sz val="9"/>
            <color indexed="81"/>
            <rFont val="Tahoma"/>
            <family val="2"/>
            <charset val="238"/>
          </rPr>
          <t xml:space="preserve">
2107 ro70 +87.789</t>
        </r>
      </text>
    </comment>
    <comment ref="D184" authorId="0" shapeId="0">
      <text>
        <r>
          <rPr>
            <b/>
            <sz val="9"/>
            <color indexed="81"/>
            <rFont val="Tahoma"/>
            <family val="2"/>
            <charset val="238"/>
          </rPr>
          <t>Jana Holíková:</t>
        </r>
        <r>
          <rPr>
            <sz val="9"/>
            <color indexed="81"/>
            <rFont val="Tahoma"/>
            <family val="2"/>
            <charset val="238"/>
          </rPr>
          <t xml:space="preserve">
2112 ro51/4 +57.218</t>
        </r>
      </text>
    </comment>
    <comment ref="D185" authorId="0" shapeId="0">
      <text>
        <r>
          <rPr>
            <b/>
            <sz val="9"/>
            <color indexed="81"/>
            <rFont val="Tahoma"/>
            <family val="2"/>
            <charset val="238"/>
          </rPr>
          <t>Jana Holíková:</t>
        </r>
        <r>
          <rPr>
            <sz val="9"/>
            <color indexed="81"/>
            <rFont val="Tahoma"/>
            <family val="2"/>
            <charset val="238"/>
          </rPr>
          <t xml:space="preserve">
2108 ro51/1 +250.000</t>
        </r>
      </text>
    </comment>
    <comment ref="D190" authorId="0" shapeId="0">
      <text>
        <r>
          <rPr>
            <b/>
            <sz val="9"/>
            <color indexed="81"/>
            <rFont val="Tahoma"/>
            <family val="2"/>
            <charset val="238"/>
          </rPr>
          <t>Jana Holíková:</t>
        </r>
        <r>
          <rPr>
            <sz val="9"/>
            <color indexed="81"/>
            <rFont val="Tahoma"/>
            <family val="2"/>
            <charset val="238"/>
          </rPr>
          <t xml:space="preserve">
2112 ro51/4 +3.041</t>
        </r>
      </text>
    </comment>
    <comment ref="D191" authorId="0" shapeId="0">
      <text>
        <r>
          <rPr>
            <b/>
            <sz val="9"/>
            <color indexed="81"/>
            <rFont val="Tahoma"/>
            <family val="2"/>
            <charset val="238"/>
          </rPr>
          <t>Jana Holíková:</t>
        </r>
        <r>
          <rPr>
            <sz val="9"/>
            <color indexed="81"/>
            <rFont val="Tahoma"/>
            <family val="2"/>
            <charset val="238"/>
          </rPr>
          <t xml:space="preserve">
2112 ro51/5 +6.616</t>
        </r>
      </text>
    </comment>
    <comment ref="D192" authorId="0" shapeId="0">
      <text>
        <r>
          <rPr>
            <b/>
            <sz val="9"/>
            <color indexed="81"/>
            <rFont val="Tahoma"/>
            <family val="2"/>
            <charset val="238"/>
          </rPr>
          <t>Jana Holíková:</t>
        </r>
        <r>
          <rPr>
            <sz val="9"/>
            <color indexed="81"/>
            <rFont val="Tahoma"/>
            <family val="2"/>
            <charset val="238"/>
          </rPr>
          <t xml:space="preserve">
2108 ro 51/1 +1.641</t>
        </r>
      </text>
    </comment>
    <comment ref="D193" authorId="0" shapeId="0">
      <text>
        <r>
          <rPr>
            <b/>
            <sz val="9"/>
            <color indexed="81"/>
            <rFont val="Tahoma"/>
            <family val="2"/>
            <charset val="238"/>
          </rPr>
          <t>Jana Holíková:</t>
        </r>
        <r>
          <rPr>
            <sz val="9"/>
            <color indexed="81"/>
            <rFont val="Tahoma"/>
            <family val="2"/>
            <charset val="238"/>
          </rPr>
          <t xml:space="preserve">
2112 ro51/3 +26.459,90</t>
        </r>
      </text>
    </comment>
    <comment ref="D197" authorId="0" shapeId="0">
      <text>
        <r>
          <rPr>
            <b/>
            <sz val="9"/>
            <color indexed="81"/>
            <rFont val="Tahoma"/>
            <family val="2"/>
            <charset val="238"/>
          </rPr>
          <t>Jana Holíková:</t>
        </r>
        <r>
          <rPr>
            <sz val="9"/>
            <color indexed="81"/>
            <rFont val="Tahoma"/>
            <family val="2"/>
            <charset val="238"/>
          </rPr>
          <t xml:space="preserve">
2110 ro101 -30.000.000</t>
        </r>
      </text>
    </comment>
    <comment ref="D202" authorId="0" shapeId="0">
      <text>
        <r>
          <rPr>
            <b/>
            <sz val="9"/>
            <color indexed="81"/>
            <rFont val="Tahoma"/>
            <charset val="1"/>
          </rPr>
          <t>Jana Holíková:</t>
        </r>
        <r>
          <rPr>
            <sz val="9"/>
            <color indexed="81"/>
            <rFont val="Tahoma"/>
            <charset val="1"/>
          </rPr>
          <t xml:space="preserve">
2112 RO51/3 -3.000.000
</t>
        </r>
      </text>
    </comment>
    <comment ref="D203" authorId="0" shapeId="0">
      <text>
        <r>
          <rPr>
            <b/>
            <sz val="9"/>
            <color indexed="81"/>
            <rFont val="Tahoma"/>
            <family val="2"/>
            <charset val="238"/>
          </rPr>
          <t>Jana Holíková:</t>
        </r>
        <r>
          <rPr>
            <sz val="9"/>
            <color indexed="81"/>
            <rFont val="Tahoma"/>
            <family val="2"/>
            <charset val="238"/>
          </rPr>
          <t xml:space="preserve">
</t>
        </r>
      </text>
    </comment>
    <comment ref="E203" authorId="0" shapeId="0">
      <text>
        <r>
          <rPr>
            <b/>
            <sz val="9"/>
            <color indexed="81"/>
            <rFont val="Tahoma"/>
            <family val="2"/>
            <charset val="238"/>
          </rPr>
          <t>Jana Holíková:</t>
        </r>
        <r>
          <rPr>
            <sz val="9"/>
            <color indexed="81"/>
            <rFont val="Tahoma"/>
            <family val="2"/>
            <charset val="238"/>
          </rPr>
          <t xml:space="preserve">
</t>
        </r>
      </text>
    </comment>
    <comment ref="D204" authorId="0" shapeId="0">
      <text>
        <r>
          <rPr>
            <b/>
            <sz val="9"/>
            <color indexed="81"/>
            <rFont val="Tahoma"/>
            <family val="2"/>
            <charset val="238"/>
          </rPr>
          <t>Jana Holíková:</t>
        </r>
        <r>
          <rPr>
            <sz val="9"/>
            <color indexed="81"/>
            <rFont val="Tahoma"/>
            <family val="2"/>
            <charset val="238"/>
          </rPr>
          <t xml:space="preserve">
2112 RO51/3 -3.000.000</t>
        </r>
      </text>
    </comment>
    <comment ref="D205" authorId="0" shapeId="0">
      <text>
        <r>
          <rPr>
            <b/>
            <sz val="9"/>
            <color indexed="81"/>
            <rFont val="Tahoma"/>
            <family val="2"/>
            <charset val="238"/>
          </rPr>
          <t>Jana Holíková:</t>
        </r>
        <r>
          <rPr>
            <sz val="9"/>
            <color indexed="81"/>
            <rFont val="Tahoma"/>
            <family val="2"/>
            <charset val="238"/>
          </rPr>
          <t xml:space="preserve">
+2310
</t>
        </r>
      </text>
    </comment>
    <comment ref="D206" authorId="0" shapeId="0">
      <text>
        <r>
          <rPr>
            <b/>
            <sz val="9"/>
            <color indexed="81"/>
            <rFont val="Tahoma"/>
            <family val="2"/>
            <charset val="238"/>
          </rPr>
          <t>Jana Holíková:</t>
        </r>
        <r>
          <rPr>
            <sz val="9"/>
            <color indexed="81"/>
            <rFont val="Tahoma"/>
            <family val="2"/>
            <charset val="238"/>
          </rPr>
          <t xml:space="preserve">
2109 ro51/2 +52.350
2112 ro51/4 +10.000</t>
        </r>
      </text>
    </comment>
    <comment ref="D207" authorId="0" shapeId="0">
      <text>
        <r>
          <rPr>
            <b/>
            <sz val="9"/>
            <color indexed="81"/>
            <rFont val="Tahoma"/>
            <family val="2"/>
            <charset val="238"/>
          </rPr>
          <t>Jana Holíková:</t>
        </r>
        <r>
          <rPr>
            <sz val="9"/>
            <color indexed="81"/>
            <rFont val="Tahoma"/>
            <family val="2"/>
            <charset val="238"/>
          </rPr>
          <t xml:space="preserve">
2112 ro51/4 +444.070</t>
        </r>
      </text>
    </comment>
    <comment ref="D208" authorId="0" shapeId="0">
      <text>
        <r>
          <rPr>
            <b/>
            <sz val="9"/>
            <color indexed="81"/>
            <rFont val="Tahoma"/>
            <family val="2"/>
            <charset val="238"/>
          </rPr>
          <t>Jana Holíková:</t>
        </r>
        <r>
          <rPr>
            <sz val="9"/>
            <color indexed="81"/>
            <rFont val="Tahoma"/>
            <family val="2"/>
            <charset val="238"/>
          </rPr>
          <t xml:space="preserve">
2112 ro51/4 -400.000</t>
        </r>
      </text>
    </comment>
    <comment ref="D210" authorId="0" shapeId="0">
      <text>
        <r>
          <rPr>
            <b/>
            <sz val="9"/>
            <color indexed="81"/>
            <rFont val="Tahoma"/>
            <family val="2"/>
            <charset val="238"/>
          </rPr>
          <t>Jana Holíková:</t>
        </r>
        <r>
          <rPr>
            <sz val="9"/>
            <color indexed="81"/>
            <rFont val="Tahoma"/>
            <family val="2"/>
            <charset val="238"/>
          </rPr>
          <t xml:space="preserve">
2102 ro10 -1.053.570</t>
        </r>
      </text>
    </comment>
    <comment ref="D211" authorId="0" shapeId="0">
      <text>
        <r>
          <rPr>
            <b/>
            <sz val="9"/>
            <color indexed="81"/>
            <rFont val="Tahoma"/>
            <family val="2"/>
            <charset val="238"/>
          </rPr>
          <t>Jana Holíková:</t>
        </r>
        <r>
          <rPr>
            <sz val="9"/>
            <color indexed="81"/>
            <rFont val="Tahoma"/>
            <family val="2"/>
            <charset val="238"/>
          </rPr>
          <t xml:space="preserve">
203 ro11 +1.000.000
2111 ro114 -1.000.000</t>
        </r>
      </text>
    </comment>
    <comment ref="D212" authorId="0" shapeId="0">
      <text>
        <r>
          <rPr>
            <b/>
            <sz val="9"/>
            <color indexed="81"/>
            <rFont val="Tahoma"/>
            <family val="2"/>
            <charset val="238"/>
          </rPr>
          <t>Jana Holíková:</t>
        </r>
        <r>
          <rPr>
            <sz val="9"/>
            <color indexed="81"/>
            <rFont val="Tahoma"/>
            <family val="2"/>
            <charset val="238"/>
          </rPr>
          <t xml:space="preserve">
2108 ro78 -14.649.529,31</t>
        </r>
      </text>
    </comment>
    <comment ref="D216" authorId="2" shapeId="0">
      <text>
        <r>
          <rPr>
            <b/>
            <sz val="9"/>
            <color indexed="81"/>
            <rFont val="Tahoma"/>
            <family val="2"/>
            <charset val="238"/>
          </rPr>
          <t>Jana:</t>
        </r>
        <r>
          <rPr>
            <sz val="9"/>
            <color indexed="81"/>
            <rFont val="Tahoma"/>
            <family val="2"/>
            <charset val="238"/>
          </rPr>
          <t xml:space="preserve">
2106 ro51 +3.000</t>
        </r>
      </text>
    </comment>
    <comment ref="D217" authorId="2" shapeId="0">
      <text>
        <r>
          <rPr>
            <b/>
            <sz val="9"/>
            <color indexed="81"/>
            <rFont val="Tahoma"/>
            <family val="2"/>
            <charset val="238"/>
          </rPr>
          <t>Jana:</t>
        </r>
        <r>
          <rPr>
            <sz val="9"/>
            <color indexed="81"/>
            <rFont val="Tahoma"/>
            <family val="2"/>
            <charset val="238"/>
          </rPr>
          <t xml:space="preserve">
2105 ro42 +1.026.933,11
2107 ro65 +4.013.693,68 
2110 ro107 +219.366,52
2112 ro132 +971,25</t>
        </r>
      </text>
    </comment>
    <comment ref="D218" authorId="2" shapeId="0">
      <text>
        <r>
          <rPr>
            <b/>
            <sz val="9"/>
            <color indexed="81"/>
            <rFont val="Tahoma"/>
            <family val="2"/>
            <charset val="238"/>
          </rPr>
          <t>Jana:</t>
        </r>
        <r>
          <rPr>
            <sz val="9"/>
            <color indexed="81"/>
            <rFont val="Tahoma"/>
            <family val="2"/>
            <charset val="238"/>
          </rPr>
          <t xml:space="preserve">
2109 ro87 +702.000 </t>
        </r>
      </text>
    </comment>
    <comment ref="D221" authorId="0" shapeId="0">
      <text>
        <r>
          <rPr>
            <b/>
            <sz val="9"/>
            <color indexed="81"/>
            <rFont val="Tahoma"/>
            <family val="2"/>
            <charset val="238"/>
          </rPr>
          <t>Jana Holíková:</t>
        </r>
        <r>
          <rPr>
            <sz val="9"/>
            <color indexed="81"/>
            <rFont val="Tahoma"/>
            <family val="2"/>
            <charset val="238"/>
          </rPr>
          <t xml:space="preserve">
2111 ro115 +48.565
1301</t>
        </r>
      </text>
    </comment>
    <comment ref="D222" authorId="0" shapeId="0">
      <text>
        <r>
          <rPr>
            <b/>
            <sz val="9"/>
            <color indexed="81"/>
            <rFont val="Tahoma"/>
            <family val="2"/>
            <charset val="238"/>
          </rPr>
          <t>Jana Holíková:</t>
        </r>
        <r>
          <rPr>
            <sz val="9"/>
            <color indexed="81"/>
            <rFont val="Tahoma"/>
            <family val="2"/>
            <charset val="238"/>
          </rPr>
          <t xml:space="preserve">
2111 ro115 +86.338
1305</t>
        </r>
      </text>
    </comment>
    <comment ref="D223" authorId="0" shapeId="0">
      <text>
        <r>
          <rPr>
            <b/>
            <sz val="9"/>
            <color indexed="81"/>
            <rFont val="Tahoma"/>
            <family val="2"/>
            <charset val="238"/>
          </rPr>
          <t>Jana Holíková:</t>
        </r>
        <r>
          <rPr>
            <sz val="9"/>
            <color indexed="81"/>
            <rFont val="Tahoma"/>
            <family val="2"/>
            <charset val="238"/>
          </rPr>
          <t xml:space="preserve">
2111 ro115 +86.338
1305</t>
        </r>
      </text>
    </comment>
    <comment ref="D225" authorId="0" shapeId="0">
      <text>
        <r>
          <rPr>
            <b/>
            <sz val="9"/>
            <color indexed="81"/>
            <rFont val="Tahoma"/>
            <family val="2"/>
            <charset val="238"/>
          </rPr>
          <t>Jana Holíková:</t>
        </r>
        <r>
          <rPr>
            <sz val="9"/>
            <color indexed="81"/>
            <rFont val="Tahoma"/>
            <family val="2"/>
            <charset val="238"/>
          </rPr>
          <t xml:space="preserve">
2112 ro51/3 -50.000</t>
        </r>
      </text>
    </comment>
    <comment ref="D227" authorId="2" shapeId="0">
      <text>
        <r>
          <rPr>
            <b/>
            <sz val="9"/>
            <color indexed="81"/>
            <rFont val="Tahoma"/>
            <family val="2"/>
            <charset val="238"/>
          </rPr>
          <t>Jana:</t>
        </r>
        <r>
          <rPr>
            <sz val="9"/>
            <color indexed="81"/>
            <rFont val="Tahoma"/>
            <family val="2"/>
            <charset val="238"/>
          </rPr>
          <t xml:space="preserve">
2105 ro44 +-3.572.950
2107 ro66
+4.422.050 -3.572.950
2109 ro89 +397.841,81
dopl 2020</t>
        </r>
      </text>
    </comment>
    <comment ref="D228" authorId="2" shapeId="0">
      <text>
        <r>
          <rPr>
            <b/>
            <sz val="9"/>
            <color indexed="81"/>
            <rFont val="Tahoma"/>
            <family val="2"/>
            <charset val="238"/>
          </rPr>
          <t>Jana:</t>
        </r>
        <r>
          <rPr>
            <sz val="9"/>
            <color indexed="81"/>
            <rFont val="Tahoma"/>
            <family val="2"/>
            <charset val="238"/>
          </rPr>
          <t xml:space="preserve">
2105 ro43 -1.137.306
+1.211.186</t>
        </r>
      </text>
    </comment>
    <comment ref="D229" authorId="2" shapeId="0">
      <text>
        <r>
          <rPr>
            <b/>
            <sz val="9"/>
            <color indexed="81"/>
            <rFont val="Tahoma"/>
            <family val="2"/>
            <charset val="238"/>
          </rPr>
          <t>Jana:</t>
        </r>
        <r>
          <rPr>
            <sz val="9"/>
            <color indexed="81"/>
            <rFont val="Tahoma"/>
            <family val="2"/>
            <charset val="238"/>
          </rPr>
          <t xml:space="preserve">
2106 ro53 +91.988</t>
        </r>
      </text>
    </comment>
    <comment ref="D230" authorId="2" shapeId="0">
      <text>
        <r>
          <rPr>
            <b/>
            <sz val="9"/>
            <color indexed="81"/>
            <rFont val="Tahoma"/>
            <family val="2"/>
            <charset val="238"/>
          </rPr>
          <t>Jana:</t>
        </r>
        <r>
          <rPr>
            <sz val="9"/>
            <color indexed="81"/>
            <rFont val="Tahoma"/>
            <family val="2"/>
            <charset val="238"/>
          </rPr>
          <t xml:space="preserve">
2105 ro40 +1.395.266</t>
        </r>
      </text>
    </comment>
    <comment ref="D231" authorId="2" shapeId="0">
      <text>
        <r>
          <rPr>
            <b/>
            <sz val="9"/>
            <color indexed="81"/>
            <rFont val="Tahoma"/>
            <family val="2"/>
            <charset val="238"/>
          </rPr>
          <t>Jana:</t>
        </r>
        <r>
          <rPr>
            <sz val="9"/>
            <color indexed="81"/>
            <rFont val="Tahoma"/>
            <family val="2"/>
            <charset val="238"/>
          </rPr>
          <t xml:space="preserve">
2212 ro133 +3.600</t>
        </r>
      </text>
    </comment>
    <comment ref="D232" authorId="2" shapeId="0">
      <text>
        <r>
          <rPr>
            <b/>
            <sz val="9"/>
            <color indexed="81"/>
            <rFont val="Tahoma"/>
            <family val="2"/>
            <charset val="238"/>
          </rPr>
          <t>Jana:</t>
        </r>
        <r>
          <rPr>
            <sz val="9"/>
            <color indexed="81"/>
            <rFont val="Tahoma"/>
            <family val="2"/>
            <charset val="238"/>
          </rPr>
          <t xml:space="preserve">
2210 ro104 +140.000</t>
        </r>
      </text>
    </comment>
    <comment ref="D233" authorId="2" shapeId="0">
      <text>
        <r>
          <rPr>
            <b/>
            <sz val="9"/>
            <color indexed="81"/>
            <rFont val="Tahoma"/>
            <family val="2"/>
            <charset val="238"/>
          </rPr>
          <t>Jana:</t>
        </r>
        <r>
          <rPr>
            <sz val="9"/>
            <color indexed="81"/>
            <rFont val="Tahoma"/>
            <family val="2"/>
            <charset val="238"/>
          </rPr>
          <t xml:space="preserve">
2112 ro136 
+24.381,50 +35.574</t>
        </r>
      </text>
    </comment>
    <comment ref="D234" authorId="0" shapeId="0">
      <text>
        <r>
          <rPr>
            <b/>
            <sz val="9"/>
            <color indexed="81"/>
            <rFont val="Tahoma"/>
            <family val="2"/>
            <charset val="238"/>
          </rPr>
          <t>Jana Holíková:</t>
        </r>
        <r>
          <rPr>
            <sz val="9"/>
            <color indexed="81"/>
            <rFont val="Tahoma"/>
            <family val="2"/>
            <charset val="238"/>
          </rPr>
          <t xml:space="preserve">
2109 ro92 +157.016,39 1071 </t>
        </r>
      </text>
    </comment>
    <comment ref="D235" authorId="0" shapeId="0">
      <text>
        <r>
          <rPr>
            <b/>
            <sz val="9"/>
            <color indexed="81"/>
            <rFont val="Tahoma"/>
            <family val="2"/>
            <charset val="238"/>
          </rPr>
          <t>Jana Holíková:</t>
        </r>
        <r>
          <rPr>
            <sz val="9"/>
            <color indexed="81"/>
            <rFont val="Tahoma"/>
            <family val="2"/>
            <charset val="238"/>
          </rPr>
          <t xml:space="preserve">
2109 ro 92 +2.669.278,68 1075</t>
        </r>
      </text>
    </comment>
    <comment ref="D236" authorId="0" shapeId="0">
      <text>
        <r>
          <rPr>
            <b/>
            <sz val="9"/>
            <color indexed="81"/>
            <rFont val="Tahoma"/>
            <family val="2"/>
            <charset val="238"/>
          </rPr>
          <t>Jana Holíková:</t>
        </r>
        <r>
          <rPr>
            <sz val="9"/>
            <color indexed="81"/>
            <rFont val="Tahoma"/>
            <family val="2"/>
            <charset val="238"/>
          </rPr>
          <t xml:space="preserve">
2112 ro125 +63.450,62 1071 </t>
        </r>
      </text>
    </comment>
    <comment ref="D237" authorId="0" shapeId="0">
      <text>
        <r>
          <rPr>
            <b/>
            <sz val="9"/>
            <color indexed="81"/>
            <rFont val="Tahoma"/>
            <family val="2"/>
            <charset val="238"/>
          </rPr>
          <t>Jana Holíková:</t>
        </r>
        <r>
          <rPr>
            <sz val="9"/>
            <color indexed="81"/>
            <rFont val="Tahoma"/>
            <family val="2"/>
            <charset val="238"/>
          </rPr>
          <t xml:space="preserve">
2112 ro125 +1.078.660,51 1075</t>
        </r>
      </text>
    </comment>
    <comment ref="D238" authorId="0" shapeId="0">
      <text>
        <r>
          <rPr>
            <b/>
            <sz val="9"/>
            <color indexed="81"/>
            <rFont val="Tahoma"/>
            <family val="2"/>
            <charset val="238"/>
          </rPr>
          <t>Jana Holíková:</t>
        </r>
        <r>
          <rPr>
            <sz val="9"/>
            <color indexed="81"/>
            <rFont val="Tahoma"/>
            <family val="2"/>
            <charset val="238"/>
          </rPr>
          <t xml:space="preserve">
2102 ro02 +68.450,27 </t>
        </r>
      </text>
    </comment>
    <comment ref="D239" authorId="0" shapeId="0">
      <text>
        <r>
          <rPr>
            <b/>
            <sz val="9"/>
            <color indexed="81"/>
            <rFont val="Tahoma"/>
            <family val="2"/>
            <charset val="238"/>
          </rPr>
          <t>Jana Holíková:</t>
        </r>
        <r>
          <rPr>
            <sz val="9"/>
            <color indexed="81"/>
            <rFont val="Tahoma"/>
            <family val="2"/>
            <charset val="238"/>
          </rPr>
          <t xml:space="preserve">
2102 ro 02 +1.163.654,63</t>
        </r>
      </text>
    </comment>
    <comment ref="D240" authorId="0" shapeId="0">
      <text>
        <r>
          <rPr>
            <b/>
            <sz val="9"/>
            <color indexed="81"/>
            <rFont val="Tahoma"/>
            <family val="2"/>
            <charset val="238"/>
          </rPr>
          <t>Jana Holíková:</t>
        </r>
        <r>
          <rPr>
            <sz val="9"/>
            <color indexed="81"/>
            <rFont val="Tahoma"/>
            <family val="2"/>
            <charset val="238"/>
          </rPr>
          <t xml:space="preserve">
2102 ro10 +726 </t>
        </r>
      </text>
    </comment>
    <comment ref="D241" authorId="0" shapeId="0">
      <text>
        <r>
          <rPr>
            <b/>
            <sz val="9"/>
            <color indexed="81"/>
            <rFont val="Tahoma"/>
            <family val="2"/>
            <charset val="238"/>
          </rPr>
          <t>Jana Holíková:</t>
        </r>
        <r>
          <rPr>
            <sz val="9"/>
            <color indexed="81"/>
            <rFont val="Tahoma"/>
            <family val="2"/>
            <charset val="238"/>
          </rPr>
          <t xml:space="preserve">
2102 ro 10 +14.520</t>
        </r>
      </text>
    </comment>
    <comment ref="D242" authorId="0" shapeId="0">
      <text>
        <r>
          <rPr>
            <b/>
            <sz val="9"/>
            <color indexed="81"/>
            <rFont val="Tahoma"/>
            <family val="2"/>
            <charset val="238"/>
          </rPr>
          <t>Jana Holíková:</t>
        </r>
        <r>
          <rPr>
            <sz val="9"/>
            <color indexed="81"/>
            <rFont val="Tahoma"/>
            <family val="2"/>
            <charset val="238"/>
          </rPr>
          <t xml:space="preserve">
2111 ro114 +961,95</t>
        </r>
      </text>
    </comment>
    <comment ref="D243" authorId="0" shapeId="0">
      <text>
        <r>
          <rPr>
            <b/>
            <sz val="9"/>
            <color indexed="81"/>
            <rFont val="Tahoma"/>
            <family val="2"/>
            <charset val="238"/>
          </rPr>
          <t>Jana Holíková:</t>
        </r>
        <r>
          <rPr>
            <sz val="9"/>
            <color indexed="81"/>
            <rFont val="Tahoma"/>
            <family val="2"/>
            <charset val="238"/>
          </rPr>
          <t xml:space="preserve">
2111 ro114 +19.239</t>
        </r>
      </text>
    </comment>
    <comment ref="D244" authorId="2" shapeId="0">
      <text>
        <r>
          <rPr>
            <b/>
            <sz val="9"/>
            <color indexed="81"/>
            <rFont val="Tahoma"/>
            <family val="2"/>
            <charset val="238"/>
          </rPr>
          <t>Jana:</t>
        </r>
        <r>
          <rPr>
            <sz val="9"/>
            <color indexed="81"/>
            <rFont val="Tahoma"/>
            <family val="2"/>
            <charset val="238"/>
          </rPr>
          <t xml:space="preserve">
2106 ro54 +167.860
2112 ro137 +44.100</t>
        </r>
      </text>
    </comment>
    <comment ref="D245" authorId="2" shapeId="0">
      <text>
        <r>
          <rPr>
            <b/>
            <sz val="9"/>
            <color indexed="81"/>
            <rFont val="Tahoma"/>
            <family val="2"/>
            <charset val="238"/>
          </rPr>
          <t>Jana:</t>
        </r>
        <r>
          <rPr>
            <sz val="9"/>
            <color indexed="81"/>
            <rFont val="Tahoma"/>
            <family val="2"/>
            <charset val="238"/>
          </rPr>
          <t xml:space="preserve">
2112 ro137 +31.689</t>
        </r>
      </text>
    </comment>
    <comment ref="D246" authorId="0" shapeId="0">
      <text>
        <r>
          <rPr>
            <b/>
            <sz val="9"/>
            <color indexed="81"/>
            <rFont val="Tahoma"/>
            <family val="2"/>
            <charset val="238"/>
          </rPr>
          <t>Jana Holíková:</t>
        </r>
        <r>
          <rPr>
            <sz val="9"/>
            <color indexed="81"/>
            <rFont val="Tahoma"/>
            <family val="2"/>
            <charset val="238"/>
          </rPr>
          <t xml:space="preserve">
2102 ro3 úz 33063
+ 70.381,36 1031
+398.827,64 1035</t>
        </r>
      </text>
    </comment>
    <comment ref="D247" authorId="0" shapeId="0">
      <text>
        <r>
          <rPr>
            <b/>
            <sz val="9"/>
            <color indexed="81"/>
            <rFont val="Tahoma"/>
            <family val="2"/>
            <charset val="238"/>
          </rPr>
          <t>Jana Holíková:</t>
        </r>
        <r>
          <rPr>
            <sz val="9"/>
            <color indexed="81"/>
            <rFont val="Tahoma"/>
            <family val="2"/>
            <charset val="238"/>
          </rPr>
          <t xml:space="preserve">
2107 ro72 úz 33063
+205.074,76 1031
+1.162.090,24 1035</t>
        </r>
      </text>
    </comment>
    <comment ref="D248" authorId="0" shapeId="0">
      <text>
        <r>
          <rPr>
            <b/>
            <sz val="9"/>
            <color indexed="81"/>
            <rFont val="Tahoma"/>
            <family val="2"/>
            <charset val="238"/>
          </rPr>
          <t>Jana Holíková:</t>
        </r>
        <r>
          <rPr>
            <sz val="9"/>
            <color indexed="81"/>
            <rFont val="Tahoma"/>
            <family val="2"/>
            <charset val="238"/>
          </rPr>
          <t xml:space="preserve">
2103 ro24 úz 33063
+169.419,91 1031
+960.046,09 1035</t>
        </r>
      </text>
    </comment>
    <comment ref="D249" authorId="2" shapeId="0">
      <text>
        <r>
          <rPr>
            <b/>
            <sz val="9"/>
            <color indexed="81"/>
            <rFont val="Tahoma"/>
            <family val="2"/>
            <charset val="238"/>
          </rPr>
          <t>Jana:</t>
        </r>
        <r>
          <rPr>
            <sz val="9"/>
            <color indexed="81"/>
            <rFont val="Tahoma"/>
            <family val="2"/>
            <charset val="238"/>
          </rPr>
          <t xml:space="preserve">
2106 ro56 +62.300
2111 ro56/1 -7892,36
2112 ro134 +15.000</t>
        </r>
      </text>
    </comment>
    <comment ref="D250" authorId="2" shapeId="0">
      <text>
        <r>
          <rPr>
            <b/>
            <sz val="9"/>
            <color indexed="81"/>
            <rFont val="Tahoma"/>
            <family val="2"/>
            <charset val="238"/>
          </rPr>
          <t>Jana:</t>
        </r>
        <r>
          <rPr>
            <sz val="9"/>
            <color indexed="81"/>
            <rFont val="Tahoma"/>
            <family val="2"/>
            <charset val="238"/>
          </rPr>
          <t xml:space="preserve">
2108 ro77 +382.000</t>
        </r>
      </text>
    </comment>
    <comment ref="D251" authorId="2" shapeId="0">
      <text>
        <r>
          <rPr>
            <b/>
            <sz val="9"/>
            <color indexed="81"/>
            <rFont val="Tahoma"/>
            <family val="2"/>
            <charset val="238"/>
          </rPr>
          <t>Jana:</t>
        </r>
        <r>
          <rPr>
            <sz val="9"/>
            <color indexed="81"/>
            <rFont val="Tahoma"/>
            <family val="2"/>
            <charset val="238"/>
          </rPr>
          <t xml:space="preserve">
2111 ro112 +929.000</t>
        </r>
      </text>
    </comment>
    <comment ref="D253" authorId="2" shapeId="0">
      <text>
        <r>
          <rPr>
            <b/>
            <sz val="9"/>
            <color indexed="81"/>
            <rFont val="Tahoma"/>
            <family val="2"/>
            <charset val="238"/>
          </rPr>
          <t>Jana:</t>
        </r>
        <r>
          <rPr>
            <sz val="9"/>
            <color indexed="81"/>
            <rFont val="Tahoma"/>
            <family val="2"/>
            <charset val="238"/>
          </rPr>
          <t xml:space="preserve">
2106 ro51 +34.000</t>
        </r>
      </text>
    </comment>
    <comment ref="D258" authorId="2" shapeId="0">
      <text>
        <r>
          <rPr>
            <b/>
            <sz val="9"/>
            <color indexed="81"/>
            <rFont val="Tahoma"/>
            <family val="2"/>
            <charset val="238"/>
          </rPr>
          <t>Jana:</t>
        </r>
        <r>
          <rPr>
            <sz val="9"/>
            <color indexed="81"/>
            <rFont val="Tahoma"/>
            <family val="2"/>
            <charset val="238"/>
          </rPr>
          <t xml:space="preserve">
2106 ro51 +434.660
2112 ro51/4 -299918,10
2112 ro51/5 -134.741,90</t>
        </r>
      </text>
    </comment>
    <comment ref="D259" authorId="2" shapeId="0">
      <text>
        <r>
          <rPr>
            <b/>
            <sz val="9"/>
            <color indexed="81"/>
            <rFont val="Tahoma"/>
            <family val="2"/>
            <charset val="238"/>
          </rPr>
          <t>Jana:</t>
        </r>
        <r>
          <rPr>
            <sz val="9"/>
            <color indexed="81"/>
            <rFont val="Tahoma"/>
            <family val="2"/>
            <charset val="238"/>
          </rPr>
          <t xml:space="preserve">
2112 ro51/5 +149.629</t>
        </r>
      </text>
    </comment>
    <comment ref="D260" authorId="2" shapeId="0">
      <text>
        <r>
          <rPr>
            <b/>
            <sz val="9"/>
            <color indexed="81"/>
            <rFont val="Tahoma"/>
            <family val="2"/>
            <charset val="238"/>
          </rPr>
          <t>Jana:</t>
        </r>
        <r>
          <rPr>
            <sz val="9"/>
            <color indexed="81"/>
            <rFont val="Tahoma"/>
            <family val="2"/>
            <charset val="238"/>
          </rPr>
          <t xml:space="preserve">
2106 ro51 +4.000</t>
        </r>
      </text>
    </comment>
    <comment ref="D262" authorId="0" shapeId="0">
      <text>
        <r>
          <rPr>
            <b/>
            <sz val="9"/>
            <color indexed="81"/>
            <rFont val="Tahoma"/>
            <family val="2"/>
            <charset val="238"/>
          </rPr>
          <t>Jana Holíková:</t>
        </r>
        <r>
          <rPr>
            <sz val="9"/>
            <color indexed="81"/>
            <rFont val="Tahoma"/>
            <family val="2"/>
            <charset val="238"/>
          </rPr>
          <t xml:space="preserve">
2108 ro51/1 +598.048,54</t>
        </r>
      </text>
    </comment>
    <comment ref="D264" authorId="2" shapeId="0">
      <text>
        <r>
          <rPr>
            <b/>
            <sz val="9"/>
            <color indexed="81"/>
            <rFont val="Tahoma"/>
            <family val="2"/>
            <charset val="238"/>
          </rPr>
          <t>Jana:</t>
        </r>
        <r>
          <rPr>
            <sz val="9"/>
            <color indexed="81"/>
            <rFont val="Tahoma"/>
            <family val="2"/>
            <charset val="238"/>
          </rPr>
          <t xml:space="preserve">
2106 ro55 +106.000
2109 ro55/1 -6.000</t>
        </r>
      </text>
    </comment>
    <comment ref="D265" authorId="0" shapeId="0">
      <text>
        <r>
          <rPr>
            <b/>
            <sz val="9"/>
            <color indexed="81"/>
            <rFont val="Tahoma"/>
            <family val="2"/>
            <charset val="238"/>
          </rPr>
          <t>Jana Holíková:</t>
        </r>
        <r>
          <rPr>
            <sz val="9"/>
            <color indexed="81"/>
            <rFont val="Tahoma"/>
            <family val="2"/>
            <charset val="238"/>
          </rPr>
          <t xml:space="preserve">
2102 ro4 úz345
+4.123.000</t>
        </r>
      </text>
    </comment>
    <comment ref="D266" authorId="0" shapeId="0">
      <text>
        <r>
          <rPr>
            <b/>
            <sz val="9"/>
            <color indexed="81"/>
            <rFont val="Tahoma"/>
            <family val="2"/>
            <charset val="238"/>
          </rPr>
          <t>Jana Holíková:</t>
        </r>
        <r>
          <rPr>
            <sz val="9"/>
            <color indexed="81"/>
            <rFont val="Tahoma"/>
            <family val="2"/>
            <charset val="238"/>
          </rPr>
          <t xml:space="preserve">
2104 ro36 úz691
+100.000</t>
        </r>
      </text>
    </comment>
    <comment ref="D267" authorId="0" shapeId="0">
      <text>
        <r>
          <rPr>
            <b/>
            <sz val="9"/>
            <color indexed="81"/>
            <rFont val="Tahoma"/>
            <family val="2"/>
            <charset val="238"/>
          </rPr>
          <t>Jana Holíková:</t>
        </r>
        <r>
          <rPr>
            <sz val="9"/>
            <color indexed="81"/>
            <rFont val="Tahoma"/>
            <family val="2"/>
            <charset val="238"/>
          </rPr>
          <t xml:space="preserve">
2110 ro95 úz 13014 1201,5
+4.839,56 +27.424,29  0321
+2.670,26 +15.131,44 0322
+4.369,37 +24.759,73 0323
</t>
        </r>
      </text>
    </comment>
    <comment ref="D268" authorId="2" shapeId="0">
      <text>
        <r>
          <rPr>
            <b/>
            <sz val="9"/>
            <color indexed="81"/>
            <rFont val="Tahoma"/>
            <family val="2"/>
            <charset val="238"/>
          </rPr>
          <t>Jana:</t>
        </r>
        <r>
          <rPr>
            <sz val="9"/>
            <color indexed="81"/>
            <rFont val="Tahoma"/>
            <family val="2"/>
            <charset val="238"/>
          </rPr>
          <t xml:space="preserve">
2104 ro35 +5.584.000
2110 ro93 +334.000</t>
        </r>
      </text>
    </comment>
    <comment ref="D269" authorId="0" shapeId="0">
      <text>
        <r>
          <rPr>
            <b/>
            <sz val="9"/>
            <color indexed="81"/>
            <rFont val="Tahoma"/>
            <family val="2"/>
            <charset val="238"/>
          </rPr>
          <t>Jana Holíková:</t>
        </r>
        <r>
          <rPr>
            <sz val="9"/>
            <color indexed="81"/>
            <rFont val="Tahoma"/>
            <family val="2"/>
            <charset val="238"/>
          </rPr>
          <t xml:space="preserve">
2108 ro51/1 +1.000</t>
        </r>
      </text>
    </comment>
    <comment ref="D272" authorId="0" shapeId="0">
      <text>
        <r>
          <rPr>
            <b/>
            <sz val="9"/>
            <color indexed="81"/>
            <rFont val="Tahoma"/>
            <family val="2"/>
            <charset val="238"/>
          </rPr>
          <t>Jana Holíková:</t>
        </r>
        <r>
          <rPr>
            <sz val="9"/>
            <color indexed="81"/>
            <rFont val="Tahoma"/>
            <family val="2"/>
            <charset val="238"/>
          </rPr>
          <t xml:space="preserve">
2112 ro51/3 -12.036
2112 ro51/4 -100</t>
        </r>
      </text>
    </comment>
    <comment ref="D273" authorId="0" shapeId="0">
      <text>
        <r>
          <rPr>
            <b/>
            <sz val="9"/>
            <color indexed="81"/>
            <rFont val="Tahoma"/>
            <family val="2"/>
            <charset val="238"/>
          </rPr>
          <t>Jana Holíková:</t>
        </r>
        <r>
          <rPr>
            <sz val="9"/>
            <color indexed="81"/>
            <rFont val="Tahoma"/>
            <family val="2"/>
            <charset val="238"/>
          </rPr>
          <t xml:space="preserve">
2112 ro51/3
-200.000 úz90992</t>
        </r>
      </text>
    </comment>
    <comment ref="D274" authorId="0" shapeId="0">
      <text>
        <r>
          <rPr>
            <b/>
            <sz val="9"/>
            <color indexed="81"/>
            <rFont val="Tahoma"/>
            <family val="2"/>
            <charset val="238"/>
          </rPr>
          <t>Jana Holíková:</t>
        </r>
        <r>
          <rPr>
            <sz val="9"/>
            <color indexed="81"/>
            <rFont val="Tahoma"/>
            <family val="2"/>
            <charset val="238"/>
          </rPr>
          <t xml:space="preserve">
2112 ro51/4 +0,46</t>
        </r>
      </text>
    </comment>
    <comment ref="D275" authorId="0" shapeId="0">
      <text>
        <r>
          <rPr>
            <b/>
            <sz val="9"/>
            <color indexed="81"/>
            <rFont val="Tahoma"/>
            <family val="2"/>
            <charset val="238"/>
          </rPr>
          <t>Jana Holíková:</t>
        </r>
        <r>
          <rPr>
            <sz val="9"/>
            <color indexed="81"/>
            <rFont val="Tahoma"/>
            <family val="2"/>
            <charset val="238"/>
          </rPr>
          <t xml:space="preserve">
2112 ro51/4 -0,52</t>
        </r>
      </text>
    </comment>
    <comment ref="D276" authorId="0" shapeId="0">
      <text>
        <r>
          <rPr>
            <b/>
            <sz val="9"/>
            <color indexed="81"/>
            <rFont val="Tahoma"/>
            <family val="2"/>
            <charset val="238"/>
          </rPr>
          <t>Jana Holíková:</t>
        </r>
        <r>
          <rPr>
            <sz val="9"/>
            <color indexed="81"/>
            <rFont val="Tahoma"/>
            <family val="2"/>
            <charset val="238"/>
          </rPr>
          <t xml:space="preserve">
2111 ro115 +26.506
1301</t>
        </r>
      </text>
    </comment>
    <comment ref="D277" authorId="0" shapeId="0">
      <text>
        <r>
          <rPr>
            <b/>
            <sz val="9"/>
            <color indexed="81"/>
            <rFont val="Tahoma"/>
            <family val="2"/>
            <charset val="238"/>
          </rPr>
          <t>Jana Holíková:</t>
        </r>
        <r>
          <rPr>
            <sz val="9"/>
            <color indexed="81"/>
            <rFont val="Tahoma"/>
            <family val="2"/>
            <charset val="238"/>
          </rPr>
          <t xml:space="preserve">
2111 ro115 +47.120
1305</t>
        </r>
      </text>
    </comment>
    <comment ref="D279" authorId="0" shapeId="0">
      <text>
        <r>
          <rPr>
            <b/>
            <sz val="9"/>
            <color indexed="81"/>
            <rFont val="Tahoma"/>
            <family val="2"/>
            <charset val="238"/>
          </rPr>
          <t>Jana Holíková:</t>
        </r>
        <r>
          <rPr>
            <sz val="9"/>
            <color indexed="81"/>
            <rFont val="Tahoma"/>
            <family val="2"/>
            <charset val="238"/>
          </rPr>
          <t xml:space="preserve">
2112 ro 51/4 -5.992.790,43</t>
        </r>
      </text>
    </comment>
    <comment ref="D280" authorId="0" shapeId="0">
      <text>
        <r>
          <rPr>
            <b/>
            <sz val="9"/>
            <color indexed="81"/>
            <rFont val="Tahoma"/>
            <family val="2"/>
            <charset val="238"/>
          </rPr>
          <t>Jana Holíková:</t>
        </r>
        <r>
          <rPr>
            <sz val="9"/>
            <color indexed="81"/>
            <rFont val="Tahoma"/>
            <family val="2"/>
            <charset val="238"/>
          </rPr>
          <t xml:space="preserve">
2112 ro51/4 -3.605.622,22</t>
        </r>
      </text>
    </comment>
    <comment ref="D281" authorId="2" shapeId="0">
      <text>
        <r>
          <rPr>
            <b/>
            <sz val="9"/>
            <color indexed="81"/>
            <rFont val="Tahoma"/>
            <family val="2"/>
            <charset val="238"/>
          </rPr>
          <t>Jana:</t>
        </r>
        <r>
          <rPr>
            <sz val="9"/>
            <color indexed="81"/>
            <rFont val="Tahoma"/>
            <family val="2"/>
            <charset val="238"/>
          </rPr>
          <t xml:space="preserve">
2104 ro31 úz13013
+  59.625    1041
+506.812,5  1045</t>
        </r>
      </text>
    </comment>
    <comment ref="D282" authorId="0" shapeId="0">
      <text>
        <r>
          <rPr>
            <b/>
            <sz val="9"/>
            <color indexed="81"/>
            <rFont val="Tahoma"/>
            <family val="2"/>
            <charset val="238"/>
          </rPr>
          <t>Jana Holíková:</t>
        </r>
        <r>
          <rPr>
            <sz val="9"/>
            <color indexed="81"/>
            <rFont val="Tahoma"/>
            <family val="2"/>
            <charset val="238"/>
          </rPr>
          <t xml:space="preserve">
2109 ro92 +142.709,29 1071 </t>
        </r>
      </text>
    </comment>
    <comment ref="D283" authorId="0" shapeId="0">
      <text>
        <r>
          <rPr>
            <b/>
            <sz val="9"/>
            <color indexed="81"/>
            <rFont val="Tahoma"/>
            <family val="2"/>
            <charset val="238"/>
          </rPr>
          <t>Jana Holíková:</t>
        </r>
        <r>
          <rPr>
            <sz val="9"/>
            <color indexed="81"/>
            <rFont val="Tahoma"/>
            <family val="2"/>
            <charset val="238"/>
          </rPr>
          <t xml:space="preserve">
2109 ro 92 +2.426.057,88 1075</t>
        </r>
      </text>
    </comment>
    <comment ref="D284" authorId="0" shapeId="0">
      <text>
        <r>
          <rPr>
            <b/>
            <sz val="9"/>
            <color indexed="81"/>
            <rFont val="Tahoma"/>
            <family val="2"/>
            <charset val="238"/>
          </rPr>
          <t>Jana Holíková:</t>
        </r>
        <r>
          <rPr>
            <sz val="9"/>
            <color indexed="81"/>
            <rFont val="Tahoma"/>
            <family val="2"/>
            <charset val="238"/>
          </rPr>
          <t xml:space="preserve">
2112 ro125 +155.438,30 1071 </t>
        </r>
      </text>
    </comment>
    <comment ref="D285" authorId="0" shapeId="0">
      <text>
        <r>
          <rPr>
            <b/>
            <sz val="9"/>
            <color indexed="81"/>
            <rFont val="Tahoma"/>
            <family val="2"/>
            <charset val="238"/>
          </rPr>
          <t>Jana Holíková:</t>
        </r>
        <r>
          <rPr>
            <sz val="9"/>
            <color indexed="81"/>
            <rFont val="Tahoma"/>
            <family val="2"/>
            <charset val="238"/>
          </rPr>
          <t xml:space="preserve">
2112 ro125 +2.642.451,15 1075</t>
        </r>
      </text>
    </comment>
    <comment ref="D286" authorId="0" shapeId="0">
      <text>
        <r>
          <rPr>
            <b/>
            <sz val="9"/>
            <color indexed="81"/>
            <rFont val="Tahoma"/>
            <family val="2"/>
            <charset val="238"/>
          </rPr>
          <t>Jana Holíková:</t>
        </r>
        <r>
          <rPr>
            <sz val="9"/>
            <color indexed="81"/>
            <rFont val="Tahoma"/>
            <family val="2"/>
            <charset val="238"/>
          </rPr>
          <t xml:space="preserve">
2102 ro 2 +51.518,60</t>
        </r>
      </text>
    </comment>
    <comment ref="D287" authorId="0" shapeId="0">
      <text>
        <r>
          <rPr>
            <b/>
            <sz val="9"/>
            <color indexed="81"/>
            <rFont val="Tahoma"/>
            <family val="2"/>
            <charset val="238"/>
          </rPr>
          <t>Jana Holíková:</t>
        </r>
        <r>
          <rPr>
            <sz val="9"/>
            <color indexed="81"/>
            <rFont val="Tahoma"/>
            <family val="2"/>
            <charset val="238"/>
          </rPr>
          <t xml:space="preserve">
2102 ro 2 +875.816,20</t>
        </r>
      </text>
    </comment>
    <comment ref="D288" authorId="0" shapeId="0">
      <text>
        <r>
          <rPr>
            <b/>
            <sz val="9"/>
            <color indexed="81"/>
            <rFont val="Tahoma"/>
            <family val="2"/>
            <charset val="238"/>
          </rPr>
          <t>Jana Holíková:</t>
        </r>
        <r>
          <rPr>
            <sz val="9"/>
            <color indexed="81"/>
            <rFont val="Tahoma"/>
            <family val="2"/>
            <charset val="238"/>
          </rPr>
          <t xml:space="preserve">
2102 ro10 +43,084,73</t>
        </r>
      </text>
    </comment>
    <comment ref="D289" authorId="0" shapeId="0">
      <text>
        <r>
          <rPr>
            <b/>
            <sz val="9"/>
            <color indexed="81"/>
            <rFont val="Tahoma"/>
            <family val="2"/>
            <charset val="238"/>
          </rPr>
          <t>Jana Holíková:</t>
        </r>
        <r>
          <rPr>
            <sz val="9"/>
            <color indexed="81"/>
            <rFont val="Tahoma"/>
            <family val="2"/>
            <charset val="238"/>
          </rPr>
          <t xml:space="preserve">
2102 ro10 +861.694,74</t>
        </r>
      </text>
    </comment>
    <comment ref="D290" authorId="0" shapeId="0">
      <text>
        <r>
          <rPr>
            <b/>
            <sz val="9"/>
            <color indexed="81"/>
            <rFont val="Tahoma"/>
            <family val="2"/>
            <charset val="238"/>
          </rPr>
          <t>Jana Holíková:</t>
        </r>
        <r>
          <rPr>
            <sz val="9"/>
            <color indexed="81"/>
            <rFont val="Tahoma"/>
            <family val="2"/>
            <charset val="238"/>
          </rPr>
          <t xml:space="preserve">
2111 ro114 +33.696,63</t>
        </r>
      </text>
    </comment>
    <comment ref="D291" authorId="0" shapeId="0">
      <text>
        <r>
          <rPr>
            <b/>
            <sz val="9"/>
            <color indexed="81"/>
            <rFont val="Tahoma"/>
            <family val="2"/>
            <charset val="238"/>
          </rPr>
          <t>Jana Holíková:</t>
        </r>
        <r>
          <rPr>
            <sz val="9"/>
            <color indexed="81"/>
            <rFont val="Tahoma"/>
            <family val="2"/>
            <charset val="238"/>
          </rPr>
          <t xml:space="preserve">
2111 ro114 +673.932,66</t>
        </r>
      </text>
    </comment>
    <comment ref="D292" authorId="0" shapeId="0">
      <text>
        <r>
          <rPr>
            <b/>
            <sz val="9"/>
            <color indexed="81"/>
            <rFont val="Tahoma"/>
            <family val="2"/>
            <charset val="238"/>
          </rPr>
          <t>Jana Holíková:</t>
        </r>
        <r>
          <rPr>
            <sz val="9"/>
            <color indexed="81"/>
            <rFont val="Tahoma"/>
            <family val="2"/>
            <charset val="238"/>
          </rPr>
          <t xml:space="preserve">
2103 ro12 +2.226.747,48
2112 ro51/3 -5,96</t>
        </r>
      </text>
    </comment>
    <comment ref="D293" authorId="0" shapeId="0">
      <text>
        <r>
          <rPr>
            <b/>
            <sz val="9"/>
            <color indexed="81"/>
            <rFont val="Tahoma"/>
            <family val="2"/>
            <charset val="238"/>
          </rPr>
          <t>Jana Holíková:</t>
        </r>
        <r>
          <rPr>
            <sz val="9"/>
            <color indexed="81"/>
            <rFont val="Tahoma"/>
            <family val="2"/>
            <charset val="238"/>
          </rPr>
          <t xml:space="preserve">
2109 ro91 +-2.000.000
2111 ro91-revokace
-2.000.000</t>
        </r>
      </text>
    </comment>
    <comment ref="D295" authorId="0" shapeId="0">
      <text>
        <r>
          <rPr>
            <b/>
            <sz val="9"/>
            <color indexed="81"/>
            <rFont val="Tahoma"/>
            <family val="2"/>
            <charset val="238"/>
          </rPr>
          <t>Jana Holíková:</t>
        </r>
        <r>
          <rPr>
            <sz val="9"/>
            <color indexed="81"/>
            <rFont val="Tahoma"/>
            <family val="2"/>
            <charset val="238"/>
          </rPr>
          <t xml:space="preserve">
2103 ro12 úz201
+3.436.854,42
-3.700.000</t>
        </r>
      </text>
    </comment>
    <comment ref="D296" authorId="0" shapeId="0">
      <text>
        <r>
          <rPr>
            <b/>
            <sz val="9"/>
            <color indexed="81"/>
            <rFont val="Tahoma"/>
            <family val="2"/>
            <charset val="238"/>
          </rPr>
          <t>Jana Holíková:</t>
        </r>
        <r>
          <rPr>
            <sz val="9"/>
            <color indexed="81"/>
            <rFont val="Tahoma"/>
            <family val="2"/>
            <charset val="238"/>
          </rPr>
          <t xml:space="preserve">
2112 ro51/3 -5.500.000</t>
        </r>
      </text>
    </comment>
    <comment ref="D297" authorId="0" shapeId="0">
      <text>
        <r>
          <rPr>
            <b/>
            <sz val="9"/>
            <color indexed="81"/>
            <rFont val="Tahoma"/>
            <family val="2"/>
            <charset val="238"/>
          </rPr>
          <t>Jana Holíková:</t>
        </r>
        <r>
          <rPr>
            <sz val="9"/>
            <color indexed="81"/>
            <rFont val="Tahoma"/>
            <family val="2"/>
            <charset val="238"/>
          </rPr>
          <t xml:space="preserve">
2103 ro16 -60.000
2107 +65.339,83</t>
        </r>
      </text>
    </comment>
    <comment ref="D298" authorId="0" shapeId="0">
      <text>
        <r>
          <rPr>
            <b/>
            <sz val="9"/>
            <color indexed="81"/>
            <rFont val="Tahoma"/>
            <family val="2"/>
            <charset val="238"/>
          </rPr>
          <t>Jana Holíková:</t>
        </r>
        <r>
          <rPr>
            <sz val="9"/>
            <color indexed="81"/>
            <rFont val="Tahoma"/>
            <family val="2"/>
            <charset val="238"/>
          </rPr>
          <t xml:space="preserve">
2107 ro62 +186.960</t>
        </r>
      </text>
    </comment>
    <comment ref="D299" authorId="0" shapeId="0">
      <text>
        <r>
          <rPr>
            <b/>
            <sz val="9"/>
            <color indexed="81"/>
            <rFont val="Tahoma"/>
            <family val="2"/>
            <charset val="238"/>
          </rPr>
          <t>Jana Holíková:</t>
        </r>
        <r>
          <rPr>
            <sz val="9"/>
            <color indexed="81"/>
            <rFont val="Tahoma"/>
            <family val="2"/>
            <charset val="238"/>
          </rPr>
          <t xml:space="preserve">
2107 ro63 +320.000</t>
        </r>
      </text>
    </comment>
    <comment ref="D304" authorId="0" shapeId="0">
      <text>
        <r>
          <rPr>
            <b/>
            <sz val="9"/>
            <color indexed="81"/>
            <rFont val="Tahoma"/>
            <family val="2"/>
            <charset val="238"/>
          </rPr>
          <t>Jana Holíková:</t>
        </r>
        <r>
          <rPr>
            <sz val="9"/>
            <color indexed="81"/>
            <rFont val="Tahoma"/>
            <family val="2"/>
            <charset val="238"/>
          </rPr>
          <t xml:space="preserve">
2103 ro17 -7.195.200
2109 ro83 +2.000.000</t>
        </r>
      </text>
    </comment>
    <comment ref="D323" authorId="0" shapeId="0">
      <text>
        <r>
          <rPr>
            <b/>
            <sz val="9"/>
            <color indexed="81"/>
            <rFont val="Tahoma"/>
            <charset val="1"/>
          </rPr>
          <t>Jana Holíková:</t>
        </r>
        <r>
          <rPr>
            <sz val="9"/>
            <color indexed="81"/>
            <rFont val="Tahoma"/>
            <charset val="1"/>
          </rPr>
          <t xml:space="preserve">
211208 +15.000</t>
        </r>
      </text>
    </comment>
    <comment ref="D325" authorId="0" shapeId="0">
      <text>
        <r>
          <rPr>
            <b/>
            <sz val="9"/>
            <color indexed="81"/>
            <rFont val="Tahoma"/>
            <charset val="1"/>
          </rPr>
          <t>Jana Holíková:</t>
        </r>
        <r>
          <rPr>
            <sz val="9"/>
            <color indexed="81"/>
            <rFont val="Tahoma"/>
            <charset val="1"/>
          </rPr>
          <t xml:space="preserve">
211208 -15.000</t>
        </r>
      </text>
    </comment>
    <comment ref="D333" authorId="0" shapeId="0">
      <text>
        <r>
          <rPr>
            <b/>
            <sz val="9"/>
            <color indexed="81"/>
            <rFont val="Tahoma"/>
            <family val="2"/>
            <charset val="238"/>
          </rPr>
          <t>Jana Holíková:</t>
        </r>
        <r>
          <rPr>
            <sz val="9"/>
            <color indexed="81"/>
            <rFont val="Tahoma"/>
            <family val="2"/>
            <charset val="238"/>
          </rPr>
          <t xml:space="preserve">
2108 ro80 -2.200.000</t>
        </r>
      </text>
    </comment>
    <comment ref="D334" authorId="0" shapeId="0">
      <text>
        <r>
          <rPr>
            <b/>
            <sz val="9"/>
            <color indexed="81"/>
            <rFont val="Tahoma"/>
            <family val="2"/>
            <charset val="238"/>
          </rPr>
          <t>Jana Holíková:</t>
        </r>
        <r>
          <rPr>
            <sz val="9"/>
            <color indexed="81"/>
            <rFont val="Tahoma"/>
            <family val="2"/>
            <charset val="238"/>
          </rPr>
          <t xml:space="preserve">
2107 ro69 -200.000</t>
        </r>
      </text>
    </comment>
    <comment ref="D335" authorId="0" shapeId="0">
      <text>
        <r>
          <rPr>
            <b/>
            <sz val="9"/>
            <color indexed="81"/>
            <rFont val="Tahoma"/>
            <family val="2"/>
            <charset val="238"/>
          </rPr>
          <t>Jana Holíková:</t>
        </r>
        <r>
          <rPr>
            <sz val="9"/>
            <color indexed="81"/>
            <rFont val="Tahoma"/>
            <family val="2"/>
            <charset val="238"/>
          </rPr>
          <t xml:space="preserve">
2107 ro67 +1.000.000
</t>
        </r>
      </text>
    </comment>
    <comment ref="D336" authorId="0" shapeId="0">
      <text>
        <r>
          <rPr>
            <b/>
            <sz val="9"/>
            <color indexed="81"/>
            <rFont val="Tahoma"/>
            <family val="2"/>
            <charset val="238"/>
          </rPr>
          <t>Jana Holíková:</t>
        </r>
        <r>
          <rPr>
            <sz val="9"/>
            <color indexed="81"/>
            <rFont val="Tahoma"/>
            <family val="2"/>
            <charset val="238"/>
          </rPr>
          <t xml:space="preserve">
210811 +53.240</t>
        </r>
      </text>
    </comment>
    <comment ref="D337" authorId="0" shapeId="0">
      <text>
        <r>
          <rPr>
            <b/>
            <sz val="9"/>
            <color indexed="81"/>
            <rFont val="Tahoma"/>
            <family val="2"/>
            <charset val="238"/>
          </rPr>
          <t>Jana Holíková:</t>
        </r>
        <r>
          <rPr>
            <sz val="9"/>
            <color indexed="81"/>
            <rFont val="Tahoma"/>
            <family val="2"/>
            <charset val="238"/>
          </rPr>
          <t xml:space="preserve">
2111 ro108
+3.905.942,92</t>
        </r>
      </text>
    </comment>
    <comment ref="D338" authorId="2" shapeId="0">
      <text>
        <r>
          <rPr>
            <b/>
            <sz val="9"/>
            <color indexed="81"/>
            <rFont val="Tahoma"/>
            <family val="2"/>
            <charset val="238"/>
          </rPr>
          <t>Jana:</t>
        </r>
        <r>
          <rPr>
            <sz val="9"/>
            <color indexed="81"/>
            <rFont val="Tahoma"/>
            <family val="2"/>
            <charset val="238"/>
          </rPr>
          <t xml:space="preserve">
2105 ro37 +42.500
2112 ro131 -200.000</t>
        </r>
      </text>
    </comment>
    <comment ref="D339" authorId="2" shapeId="0">
      <text>
        <r>
          <rPr>
            <b/>
            <sz val="9"/>
            <color indexed="81"/>
            <rFont val="Tahoma"/>
            <family val="2"/>
            <charset val="238"/>
          </rPr>
          <t>Jana:</t>
        </r>
        <r>
          <rPr>
            <sz val="9"/>
            <color indexed="81"/>
            <rFont val="Tahoma"/>
            <family val="2"/>
            <charset val="238"/>
          </rPr>
          <t xml:space="preserve">
2105 ro37 +87.350
2112 ro131 +200.000</t>
        </r>
      </text>
    </comment>
    <comment ref="D340" authorId="2" shapeId="0">
      <text>
        <r>
          <rPr>
            <b/>
            <sz val="9"/>
            <color indexed="81"/>
            <rFont val="Tahoma"/>
            <family val="2"/>
            <charset val="238"/>
          </rPr>
          <t>Jana:</t>
        </r>
        <r>
          <rPr>
            <sz val="9"/>
            <color indexed="81"/>
            <rFont val="Tahoma"/>
            <family val="2"/>
            <charset val="238"/>
          </rPr>
          <t xml:space="preserve">
2105 ro39 +2.640
2110 ro102 +2.013
211103 +127.050
211215 +100.000</t>
        </r>
      </text>
    </comment>
    <comment ref="D341" authorId="0" shapeId="0">
      <text>
        <r>
          <rPr>
            <b/>
            <sz val="9"/>
            <color indexed="81"/>
            <rFont val="Tahoma"/>
            <family val="2"/>
            <charset val="238"/>
          </rPr>
          <t>Jana Holíková:</t>
        </r>
        <r>
          <rPr>
            <sz val="9"/>
            <color indexed="81"/>
            <rFont val="Tahoma"/>
            <family val="2"/>
            <charset val="238"/>
          </rPr>
          <t xml:space="preserve">
210811 -53.240
211103 -127.050
211215 -100.000
</t>
        </r>
      </text>
    </comment>
    <comment ref="D343" authorId="0" shapeId="0">
      <text>
        <r>
          <rPr>
            <b/>
            <sz val="9"/>
            <color indexed="81"/>
            <rFont val="Tahoma"/>
            <family val="2"/>
            <charset val="238"/>
          </rPr>
          <t>Jana Holíková:</t>
        </r>
        <r>
          <rPr>
            <sz val="9"/>
            <color indexed="81"/>
            <rFont val="Tahoma"/>
            <family val="2"/>
            <charset val="238"/>
          </rPr>
          <t xml:space="preserve">
2108 ro80 +2.200.000
2110 ro106 -766.001,80
2111 ro106úpr
+766001,80 -695.005,27
2112 ro131 -70.996,53</t>
        </r>
      </text>
    </comment>
    <comment ref="D346" authorId="2" shapeId="0">
      <text>
        <r>
          <rPr>
            <b/>
            <sz val="9"/>
            <color indexed="81"/>
            <rFont val="Tahoma"/>
            <family val="2"/>
            <charset val="238"/>
          </rPr>
          <t>Jana:</t>
        </r>
        <r>
          <rPr>
            <sz val="9"/>
            <color indexed="81"/>
            <rFont val="Tahoma"/>
            <family val="2"/>
            <charset val="238"/>
          </rPr>
          <t xml:space="preserve">
2105 ro50 +1.155.128,50</t>
        </r>
      </text>
    </comment>
    <comment ref="D358" authorId="0" shapeId="0">
      <text>
        <r>
          <rPr>
            <b/>
            <sz val="9"/>
            <color indexed="81"/>
            <rFont val="Tahoma"/>
            <family val="2"/>
            <charset val="238"/>
          </rPr>
          <t>Jana Holíková:</t>
        </r>
        <r>
          <rPr>
            <sz val="9"/>
            <color indexed="81"/>
            <rFont val="Tahoma"/>
            <family val="2"/>
            <charset val="238"/>
          </rPr>
          <t xml:space="preserve">
2112 135 +25.000</t>
        </r>
      </text>
    </comment>
    <comment ref="D360" authorId="2" shapeId="0">
      <text>
        <r>
          <rPr>
            <b/>
            <sz val="9"/>
            <color indexed="81"/>
            <rFont val="Tahoma"/>
            <family val="2"/>
            <charset val="238"/>
          </rPr>
          <t>Jana:</t>
        </r>
        <r>
          <rPr>
            <sz val="9"/>
            <color indexed="81"/>
            <rFont val="Tahoma"/>
            <family val="2"/>
            <charset val="238"/>
          </rPr>
          <t xml:space="preserve">
210501 +-201.199
2108 ro79 -299.541</t>
        </r>
      </text>
    </comment>
    <comment ref="D363" authorId="0" shapeId="0">
      <text>
        <r>
          <rPr>
            <b/>
            <sz val="9"/>
            <color indexed="81"/>
            <rFont val="Tahoma"/>
            <family val="2"/>
            <charset val="238"/>
          </rPr>
          <t>Jana Holíková:</t>
        </r>
        <r>
          <rPr>
            <sz val="9"/>
            <color indexed="81"/>
            <rFont val="Tahoma"/>
            <family val="2"/>
            <charset val="238"/>
          </rPr>
          <t xml:space="preserve">
2108 ro79 +299.541</t>
        </r>
      </text>
    </comment>
    <comment ref="D364" authorId="0" shapeId="0">
      <text>
        <r>
          <rPr>
            <b/>
            <sz val="9"/>
            <color indexed="81"/>
            <rFont val="Tahoma"/>
            <family val="2"/>
            <charset val="238"/>
          </rPr>
          <t>Jana Holíková:</t>
        </r>
        <r>
          <rPr>
            <sz val="9"/>
            <color indexed="81"/>
            <rFont val="Tahoma"/>
            <family val="2"/>
            <charset val="238"/>
          </rPr>
          <t xml:space="preserve">
210707 -100.000</t>
        </r>
      </text>
    </comment>
    <comment ref="D366" authorId="0" shapeId="0">
      <text>
        <r>
          <rPr>
            <b/>
            <sz val="9"/>
            <color indexed="81"/>
            <rFont val="Tahoma"/>
            <family val="2"/>
            <charset val="238"/>
          </rPr>
          <t>Jana Holíková:</t>
        </r>
        <r>
          <rPr>
            <sz val="9"/>
            <color indexed="81"/>
            <rFont val="Tahoma"/>
            <family val="2"/>
            <charset val="238"/>
          </rPr>
          <t xml:space="preserve">
210707 +100.000</t>
        </r>
      </text>
    </comment>
    <comment ref="D369" authorId="2" shapeId="0">
      <text>
        <r>
          <rPr>
            <b/>
            <sz val="9"/>
            <color indexed="81"/>
            <rFont val="Tahoma"/>
            <family val="2"/>
            <charset val="238"/>
          </rPr>
          <t>Jana:</t>
        </r>
        <r>
          <rPr>
            <sz val="9"/>
            <color indexed="81"/>
            <rFont val="Tahoma"/>
            <family val="2"/>
            <charset val="238"/>
          </rPr>
          <t xml:space="preserve">
2105 ro37 +23.550
2111 ro121 -150.000</t>
        </r>
      </text>
    </comment>
    <comment ref="D373" authorId="0" shapeId="0">
      <text>
        <r>
          <rPr>
            <b/>
            <sz val="9"/>
            <color indexed="81"/>
            <rFont val="Tahoma"/>
            <family val="2"/>
            <charset val="238"/>
          </rPr>
          <t>Jana Holíková:</t>
        </r>
        <r>
          <rPr>
            <sz val="9"/>
            <color indexed="81"/>
            <rFont val="Tahoma"/>
            <family val="2"/>
            <charset val="238"/>
          </rPr>
          <t xml:space="preserve">
2109 ro85 +87.530
2111 ro121 -669.130</t>
        </r>
      </text>
    </comment>
    <comment ref="D374" authorId="2" shapeId="0">
      <text>
        <r>
          <rPr>
            <b/>
            <sz val="9"/>
            <color indexed="81"/>
            <rFont val="Tahoma"/>
            <family val="2"/>
            <charset val="238"/>
          </rPr>
          <t>Jana:</t>
        </r>
        <r>
          <rPr>
            <sz val="9"/>
            <color indexed="81"/>
            <rFont val="Tahoma"/>
            <family val="2"/>
            <charset val="238"/>
          </rPr>
          <t xml:space="preserve">
2105 ro37 +23.550
2111 ro121 -100.000
2112 ro131 -100.000</t>
        </r>
      </text>
    </comment>
    <comment ref="D375" authorId="0" shapeId="0">
      <text>
        <r>
          <rPr>
            <b/>
            <sz val="9"/>
            <color indexed="81"/>
            <rFont val="Tahoma"/>
            <family val="2"/>
            <charset val="238"/>
          </rPr>
          <t>Jana Holíková:</t>
        </r>
        <r>
          <rPr>
            <sz val="9"/>
            <color indexed="81"/>
            <rFont val="Tahoma"/>
            <family val="2"/>
            <charset val="238"/>
          </rPr>
          <t xml:space="preserve">
2112 ro135 -25.000</t>
        </r>
      </text>
    </comment>
    <comment ref="D377" authorId="2" shapeId="0">
      <text>
        <r>
          <rPr>
            <b/>
            <sz val="9"/>
            <color indexed="81"/>
            <rFont val="Tahoma"/>
            <family val="2"/>
            <charset val="238"/>
          </rPr>
          <t>Jana:</t>
        </r>
        <r>
          <rPr>
            <sz val="9"/>
            <color indexed="81"/>
            <rFont val="Tahoma"/>
            <family val="2"/>
            <charset val="238"/>
          </rPr>
          <t xml:space="preserve">
210604 +281,23</t>
        </r>
      </text>
    </comment>
    <comment ref="D378" authorId="0" shapeId="0">
      <text>
        <r>
          <rPr>
            <b/>
            <sz val="9"/>
            <color indexed="81"/>
            <rFont val="Tahoma"/>
            <family val="2"/>
            <charset val="238"/>
          </rPr>
          <t>Jana Holíková:</t>
        </r>
        <r>
          <rPr>
            <sz val="9"/>
            <color indexed="81"/>
            <rFont val="Tahoma"/>
            <family val="2"/>
            <charset val="238"/>
          </rPr>
          <t xml:space="preserve">
2107 ro69 +200.000
2111 ro121 -11.240</t>
        </r>
      </text>
    </comment>
    <comment ref="D379" authorId="2" shapeId="0">
      <text>
        <r>
          <rPr>
            <b/>
            <sz val="9"/>
            <color indexed="81"/>
            <rFont val="Tahoma"/>
            <family val="2"/>
            <charset val="238"/>
          </rPr>
          <t>Jana:</t>
        </r>
        <r>
          <rPr>
            <sz val="9"/>
            <color indexed="81"/>
            <rFont val="Tahoma"/>
            <family val="2"/>
            <charset val="238"/>
          </rPr>
          <t xml:space="preserve">
210604 -281,23</t>
        </r>
      </text>
    </comment>
    <comment ref="D386" authorId="2" shapeId="0">
      <text>
        <r>
          <rPr>
            <b/>
            <sz val="9"/>
            <color indexed="81"/>
            <rFont val="Tahoma"/>
            <family val="2"/>
            <charset val="238"/>
          </rPr>
          <t>Jana:</t>
        </r>
        <r>
          <rPr>
            <sz val="9"/>
            <color indexed="81"/>
            <rFont val="Tahoma"/>
            <family val="2"/>
            <charset val="238"/>
          </rPr>
          <t xml:space="preserve">
210606 -93.200
2109 ro51/2 -1.200.000</t>
        </r>
      </text>
    </comment>
    <comment ref="D387" authorId="2" shapeId="0">
      <text>
        <r>
          <rPr>
            <b/>
            <sz val="9"/>
            <color indexed="81"/>
            <rFont val="Tahoma"/>
            <family val="2"/>
            <charset val="238"/>
          </rPr>
          <t>Jana:</t>
        </r>
        <r>
          <rPr>
            <sz val="9"/>
            <color indexed="81"/>
            <rFont val="Tahoma"/>
            <family val="2"/>
            <charset val="238"/>
          </rPr>
          <t xml:space="preserve">
210606 +93.200
211210 +6.050</t>
        </r>
      </text>
    </comment>
    <comment ref="D388" authorId="0" shapeId="0">
      <text>
        <r>
          <rPr>
            <b/>
            <sz val="9"/>
            <color indexed="81"/>
            <rFont val="Tahoma"/>
            <family val="2"/>
            <charset val="238"/>
          </rPr>
          <t>Jana Holíková:</t>
        </r>
        <r>
          <rPr>
            <sz val="9"/>
            <color indexed="81"/>
            <rFont val="Tahoma"/>
            <family val="2"/>
            <charset val="238"/>
          </rPr>
          <t xml:space="preserve">
211210 -6.050</t>
        </r>
      </text>
    </comment>
    <comment ref="D390" authorId="2" shapeId="0">
      <text>
        <r>
          <rPr>
            <b/>
            <sz val="9"/>
            <color indexed="81"/>
            <rFont val="Tahoma"/>
            <family val="2"/>
            <charset val="238"/>
          </rPr>
          <t>Jana:</t>
        </r>
        <r>
          <rPr>
            <sz val="9"/>
            <color indexed="81"/>
            <rFont val="Tahoma"/>
            <family val="2"/>
            <charset val="238"/>
          </rPr>
          <t xml:space="preserve">
210408 +21.000</t>
        </r>
      </text>
    </comment>
    <comment ref="D391" authorId="2" shapeId="0">
      <text>
        <r>
          <rPr>
            <b/>
            <sz val="9"/>
            <color indexed="81"/>
            <rFont val="Tahoma"/>
            <family val="2"/>
            <charset val="238"/>
          </rPr>
          <t>Jana:</t>
        </r>
        <r>
          <rPr>
            <sz val="9"/>
            <color indexed="81"/>
            <rFont val="Tahoma"/>
            <family val="2"/>
            <charset val="238"/>
          </rPr>
          <t xml:space="preserve">
210404 -15.000
210408 -21.000</t>
        </r>
      </text>
    </comment>
    <comment ref="D393" authorId="2" shapeId="0">
      <text>
        <r>
          <rPr>
            <b/>
            <sz val="9"/>
            <color indexed="81"/>
            <rFont val="Tahoma"/>
            <family val="2"/>
            <charset val="238"/>
          </rPr>
          <t>Jana:</t>
        </r>
        <r>
          <rPr>
            <sz val="9"/>
            <color indexed="81"/>
            <rFont val="Tahoma"/>
            <family val="2"/>
            <charset val="238"/>
          </rPr>
          <t xml:space="preserve">
210404 +15.000</t>
        </r>
      </text>
    </comment>
    <comment ref="D396" authorId="0" shapeId="0">
      <text>
        <r>
          <rPr>
            <b/>
            <sz val="9"/>
            <color indexed="81"/>
            <rFont val="Tahoma"/>
            <charset val="1"/>
          </rPr>
          <t>Jana Holíková:</t>
        </r>
        <r>
          <rPr>
            <sz val="9"/>
            <color indexed="81"/>
            <rFont val="Tahoma"/>
            <charset val="1"/>
          </rPr>
          <t xml:space="preserve">
211008 -70.000</t>
        </r>
      </text>
    </comment>
    <comment ref="D397" authorId="0" shapeId="0">
      <text>
        <r>
          <rPr>
            <b/>
            <sz val="9"/>
            <color indexed="81"/>
            <rFont val="Tahoma"/>
            <family val="2"/>
            <charset val="238"/>
          </rPr>
          <t>Jana Holíková:</t>
        </r>
        <r>
          <rPr>
            <sz val="9"/>
            <color indexed="81"/>
            <rFont val="Tahoma"/>
            <family val="2"/>
            <charset val="238"/>
          </rPr>
          <t xml:space="preserve">
210807 +800.000
211008 +70.000</t>
        </r>
      </text>
    </comment>
    <comment ref="D398" authorId="0" shapeId="0">
      <text>
        <r>
          <rPr>
            <b/>
            <sz val="9"/>
            <color indexed="81"/>
            <rFont val="Tahoma"/>
            <family val="2"/>
            <charset val="238"/>
          </rPr>
          <t>Jana Holíková:</t>
        </r>
        <r>
          <rPr>
            <sz val="9"/>
            <color indexed="81"/>
            <rFont val="Tahoma"/>
            <family val="2"/>
            <charset val="238"/>
          </rPr>
          <t xml:space="preserve">
2110 ro103 +1.600.000</t>
        </r>
      </text>
    </comment>
    <comment ref="D399" authorId="0" shapeId="0">
      <text>
        <r>
          <rPr>
            <b/>
            <sz val="9"/>
            <color indexed="81"/>
            <rFont val="Tahoma"/>
            <family val="2"/>
            <charset val="238"/>
          </rPr>
          <t>Jana Holíková:</t>
        </r>
        <r>
          <rPr>
            <sz val="9"/>
            <color indexed="81"/>
            <rFont val="Tahoma"/>
            <family val="2"/>
            <charset val="238"/>
          </rPr>
          <t xml:space="preserve">
211111 +251.000</t>
        </r>
      </text>
    </comment>
    <comment ref="D400" authorId="0" shapeId="0">
      <text>
        <r>
          <rPr>
            <b/>
            <sz val="9"/>
            <color indexed="81"/>
            <rFont val="Tahoma"/>
            <family val="2"/>
            <charset val="238"/>
          </rPr>
          <t>Jana Holíková:</t>
        </r>
        <r>
          <rPr>
            <sz val="9"/>
            <color indexed="81"/>
            <rFont val="Tahoma"/>
            <family val="2"/>
            <charset val="238"/>
          </rPr>
          <t xml:space="preserve">
210807 -800.000
211111 -251.000
211204 -40.000</t>
        </r>
      </text>
    </comment>
    <comment ref="D401" authorId="0" shapeId="0">
      <text>
        <r>
          <rPr>
            <b/>
            <sz val="9"/>
            <color indexed="81"/>
            <rFont val="Tahoma"/>
            <family val="2"/>
            <charset val="238"/>
          </rPr>
          <t>Jana Holíková:</t>
        </r>
        <r>
          <rPr>
            <sz val="9"/>
            <color indexed="81"/>
            <rFont val="Tahoma"/>
            <family val="2"/>
            <charset val="238"/>
          </rPr>
          <t xml:space="preserve">
2110 ro103 -400.000</t>
        </r>
      </text>
    </comment>
    <comment ref="D405" authorId="0" shapeId="0">
      <text>
        <r>
          <rPr>
            <b/>
            <sz val="9"/>
            <color indexed="81"/>
            <rFont val="Tahoma"/>
            <family val="2"/>
            <charset val="238"/>
          </rPr>
          <t>Jana Holíková:</t>
        </r>
        <r>
          <rPr>
            <sz val="9"/>
            <color indexed="81"/>
            <rFont val="Tahoma"/>
            <family val="2"/>
            <charset val="238"/>
          </rPr>
          <t xml:space="preserve">
2103 ro11 -170.000</t>
        </r>
      </text>
    </comment>
    <comment ref="D406" authorId="0" shapeId="0">
      <text>
        <r>
          <rPr>
            <b/>
            <sz val="9"/>
            <color indexed="81"/>
            <rFont val="Tahoma"/>
            <family val="2"/>
            <charset val="238"/>
          </rPr>
          <t>Jana Holíková:</t>
        </r>
        <r>
          <rPr>
            <sz val="9"/>
            <color indexed="81"/>
            <rFont val="Tahoma"/>
            <family val="2"/>
            <charset val="238"/>
          </rPr>
          <t xml:space="preserve">
211204 +40.000</t>
        </r>
      </text>
    </comment>
    <comment ref="D413" authorId="0" shapeId="0">
      <text>
        <r>
          <rPr>
            <b/>
            <sz val="9"/>
            <color indexed="81"/>
            <rFont val="Tahoma"/>
            <family val="2"/>
            <charset val="238"/>
          </rPr>
          <t>Jana Holíková:</t>
        </r>
        <r>
          <rPr>
            <sz val="9"/>
            <color indexed="81"/>
            <rFont val="Tahoma"/>
            <family val="2"/>
            <charset val="238"/>
          </rPr>
          <t xml:space="preserve">
210202 -82.280</t>
        </r>
      </text>
    </comment>
    <comment ref="D414" authorId="2" shapeId="0">
      <text>
        <r>
          <rPr>
            <b/>
            <sz val="9"/>
            <color indexed="81"/>
            <rFont val="Tahoma"/>
            <family val="2"/>
            <charset val="238"/>
          </rPr>
          <t>Jana:</t>
        </r>
        <r>
          <rPr>
            <sz val="9"/>
            <color indexed="81"/>
            <rFont val="Tahoma"/>
            <family val="2"/>
            <charset val="238"/>
          </rPr>
          <t xml:space="preserve">
210607 -450.000
2110 ro103 -1.200.000</t>
        </r>
      </text>
    </comment>
    <comment ref="D415" authorId="0" shapeId="0">
      <text>
        <r>
          <rPr>
            <b/>
            <sz val="9"/>
            <color indexed="81"/>
            <rFont val="Tahoma"/>
            <family val="2"/>
            <charset val="238"/>
          </rPr>
          <t>Jana Holíková:</t>
        </r>
        <r>
          <rPr>
            <sz val="9"/>
            <color indexed="81"/>
            <rFont val="Tahoma"/>
            <family val="2"/>
            <charset val="238"/>
          </rPr>
          <t xml:space="preserve">
211211 -200.000</t>
        </r>
      </text>
    </comment>
    <comment ref="D417" authorId="0" shapeId="0">
      <text>
        <r>
          <rPr>
            <b/>
            <sz val="9"/>
            <color indexed="81"/>
            <rFont val="Tahoma"/>
            <family val="2"/>
            <charset val="238"/>
          </rPr>
          <t>Jana Holíková:</t>
        </r>
        <r>
          <rPr>
            <sz val="9"/>
            <color indexed="81"/>
            <rFont val="Tahoma"/>
            <family val="2"/>
            <charset val="238"/>
          </rPr>
          <t xml:space="preserve">
2103 ro11 -160.500</t>
        </r>
      </text>
    </comment>
    <comment ref="D418" authorId="0" shapeId="0">
      <text>
        <r>
          <rPr>
            <b/>
            <sz val="9"/>
            <color indexed="81"/>
            <rFont val="Tahoma"/>
            <family val="2"/>
            <charset val="238"/>
          </rPr>
          <t>Jana Holíková:</t>
        </r>
        <r>
          <rPr>
            <sz val="9"/>
            <color indexed="81"/>
            <rFont val="Tahoma"/>
            <family val="2"/>
            <charset val="238"/>
          </rPr>
          <t xml:space="preserve">
210303 -215.890
210304 -162.803
210702 +900.000</t>
        </r>
      </text>
    </comment>
    <comment ref="D419" authorId="0" shapeId="0">
      <text>
        <r>
          <rPr>
            <b/>
            <sz val="9"/>
            <color indexed="81"/>
            <rFont val="Tahoma"/>
            <family val="2"/>
            <charset val="238"/>
          </rPr>
          <t>Jana Holíková:</t>
        </r>
        <r>
          <rPr>
            <sz val="9"/>
            <color indexed="81"/>
            <rFont val="Tahoma"/>
            <family val="2"/>
            <charset val="238"/>
          </rPr>
          <t xml:space="preserve">
211211 +1.087.000</t>
        </r>
      </text>
    </comment>
    <comment ref="D420" authorId="0" shapeId="0">
      <text>
        <r>
          <rPr>
            <b/>
            <sz val="9"/>
            <color indexed="81"/>
            <rFont val="Tahoma"/>
            <family val="2"/>
            <charset val="238"/>
          </rPr>
          <t>Jana Holíková:</t>
        </r>
        <r>
          <rPr>
            <sz val="9"/>
            <color indexed="81"/>
            <rFont val="Tahoma"/>
            <family val="2"/>
            <charset val="238"/>
          </rPr>
          <t xml:space="preserve">
210304 +162.803
2107 ro62 +-186.960</t>
        </r>
      </text>
    </comment>
    <comment ref="D425" authorId="2" shapeId="0">
      <text>
        <r>
          <rPr>
            <b/>
            <sz val="9"/>
            <color indexed="81"/>
            <rFont val="Tahoma"/>
            <family val="2"/>
            <charset val="238"/>
          </rPr>
          <t>Jana:</t>
        </r>
        <r>
          <rPr>
            <sz val="9"/>
            <color indexed="81"/>
            <rFont val="Tahoma"/>
            <family val="2"/>
            <charset val="238"/>
          </rPr>
          <t xml:space="preserve">
210607 +450.000</t>
        </r>
      </text>
    </comment>
    <comment ref="D426" authorId="0" shapeId="0">
      <text>
        <r>
          <rPr>
            <b/>
            <sz val="9"/>
            <color indexed="81"/>
            <rFont val="Tahoma"/>
            <family val="2"/>
            <charset val="238"/>
          </rPr>
          <t>Jana Holíková:</t>
        </r>
        <r>
          <rPr>
            <sz val="9"/>
            <color indexed="81"/>
            <rFont val="Tahoma"/>
            <family val="2"/>
            <charset val="238"/>
          </rPr>
          <t xml:space="preserve">
210303 +80.396</t>
        </r>
      </text>
    </comment>
    <comment ref="D430" authorId="0" shapeId="0">
      <text>
        <r>
          <rPr>
            <b/>
            <sz val="9"/>
            <color indexed="81"/>
            <rFont val="Tahoma"/>
            <family val="2"/>
            <charset val="238"/>
          </rPr>
          <t>Jana Holíková:</t>
        </r>
        <r>
          <rPr>
            <sz val="9"/>
            <color indexed="81"/>
            <rFont val="Tahoma"/>
            <family val="2"/>
            <charset val="238"/>
          </rPr>
          <t xml:space="preserve">
210303 +95.430</t>
        </r>
      </text>
    </comment>
    <comment ref="D432" authorId="0" shapeId="0">
      <text>
        <r>
          <rPr>
            <b/>
            <sz val="9"/>
            <color indexed="81"/>
            <rFont val="Tahoma"/>
            <family val="2"/>
            <charset val="238"/>
          </rPr>
          <t>Jana Holíková:</t>
        </r>
        <r>
          <rPr>
            <sz val="9"/>
            <color indexed="81"/>
            <rFont val="Tahoma"/>
            <family val="2"/>
            <charset val="238"/>
          </rPr>
          <t xml:space="preserve">
210303 +32.035</t>
        </r>
      </text>
    </comment>
    <comment ref="D433" authorId="0" shapeId="0">
      <text>
        <r>
          <rPr>
            <b/>
            <sz val="9"/>
            <color indexed="81"/>
            <rFont val="Tahoma"/>
            <family val="2"/>
            <charset val="238"/>
          </rPr>
          <t>Jana Holíková:</t>
        </r>
        <r>
          <rPr>
            <sz val="9"/>
            <color indexed="81"/>
            <rFont val="Tahoma"/>
            <family val="2"/>
            <charset val="238"/>
          </rPr>
          <t xml:space="preserve">
210702 -900.000
211211 -300.000</t>
        </r>
      </text>
    </comment>
    <comment ref="D434" authorId="0" shapeId="0">
      <text>
        <r>
          <rPr>
            <b/>
            <sz val="9"/>
            <color indexed="81"/>
            <rFont val="Tahoma"/>
            <family val="2"/>
            <charset val="238"/>
          </rPr>
          <t>Jana Holíková:</t>
        </r>
        <r>
          <rPr>
            <sz val="9"/>
            <color indexed="81"/>
            <rFont val="Tahoma"/>
            <family val="2"/>
            <charset val="238"/>
          </rPr>
          <t xml:space="preserve">
210303 +8.029</t>
        </r>
      </text>
    </comment>
    <comment ref="D435" authorId="0" shapeId="0">
      <text>
        <r>
          <rPr>
            <b/>
            <sz val="9"/>
            <color indexed="81"/>
            <rFont val="Tahoma"/>
            <family val="2"/>
            <charset val="238"/>
          </rPr>
          <t>Jana Holíková:</t>
        </r>
        <r>
          <rPr>
            <sz val="9"/>
            <color indexed="81"/>
            <rFont val="Tahoma"/>
            <family val="2"/>
            <charset val="238"/>
          </rPr>
          <t xml:space="preserve">
2103 ro11 -100.000</t>
        </r>
      </text>
    </comment>
    <comment ref="D436" authorId="0" shapeId="0">
      <text>
        <r>
          <rPr>
            <b/>
            <sz val="9"/>
            <color indexed="81"/>
            <rFont val="Tahoma"/>
            <family val="2"/>
            <charset val="238"/>
          </rPr>
          <t>Jana Holíková:</t>
        </r>
        <r>
          <rPr>
            <sz val="9"/>
            <color indexed="81"/>
            <rFont val="Tahoma"/>
            <family val="2"/>
            <charset val="238"/>
          </rPr>
          <t xml:space="preserve">
211211 -100.000</t>
        </r>
      </text>
    </comment>
    <comment ref="D437" authorId="0" shapeId="0">
      <text>
        <r>
          <rPr>
            <b/>
            <sz val="9"/>
            <color indexed="81"/>
            <rFont val="Tahoma"/>
            <family val="2"/>
            <charset val="238"/>
          </rPr>
          <t>Jana Holíková:</t>
        </r>
        <r>
          <rPr>
            <sz val="9"/>
            <color indexed="81"/>
            <rFont val="Tahoma"/>
            <family val="2"/>
            <charset val="238"/>
          </rPr>
          <t xml:space="preserve">
210202 +82.280</t>
        </r>
      </text>
    </comment>
    <comment ref="D439" authorId="0" shapeId="0">
      <text>
        <r>
          <rPr>
            <b/>
            <sz val="9"/>
            <color indexed="81"/>
            <rFont val="Tahoma"/>
            <family val="2"/>
            <charset val="238"/>
          </rPr>
          <t>Jana Holíková:</t>
        </r>
        <r>
          <rPr>
            <sz val="9"/>
            <color indexed="81"/>
            <rFont val="Tahoma"/>
            <family val="2"/>
            <charset val="238"/>
          </rPr>
          <t xml:space="preserve">
2107 ro63 +-320.000 úz611
211211 -487.000</t>
        </r>
      </text>
    </comment>
    <comment ref="D447" authorId="0" shapeId="0">
      <text>
        <r>
          <rPr>
            <b/>
            <sz val="9"/>
            <color indexed="81"/>
            <rFont val="Tahoma"/>
            <family val="2"/>
            <charset val="238"/>
          </rPr>
          <t>Jana Holíková:</t>
        </r>
        <r>
          <rPr>
            <sz val="9"/>
            <color indexed="81"/>
            <rFont val="Tahoma"/>
            <family val="2"/>
            <charset val="238"/>
          </rPr>
          <t xml:space="preserve">
211105 +15.000
211212 +1.000
</t>
        </r>
      </text>
    </comment>
    <comment ref="D449" authorId="0" shapeId="0">
      <text>
        <r>
          <rPr>
            <b/>
            <sz val="9"/>
            <color indexed="81"/>
            <rFont val="Tahoma"/>
            <family val="2"/>
            <charset val="238"/>
          </rPr>
          <t>Jana Holíková:</t>
        </r>
        <r>
          <rPr>
            <sz val="9"/>
            <color indexed="81"/>
            <rFont val="Tahoma"/>
            <family val="2"/>
            <charset val="238"/>
          </rPr>
          <t xml:space="preserve">
211212 -43.000</t>
        </r>
      </text>
    </comment>
    <comment ref="D450" authorId="0" shapeId="0">
      <text>
        <r>
          <rPr>
            <b/>
            <sz val="9"/>
            <color indexed="81"/>
            <rFont val="Tahoma"/>
            <family val="2"/>
            <charset val="238"/>
          </rPr>
          <t>Jana Holíková:</t>
        </r>
        <r>
          <rPr>
            <sz val="9"/>
            <color indexed="81"/>
            <rFont val="Tahoma"/>
            <family val="2"/>
            <charset val="238"/>
          </rPr>
          <t xml:space="preserve">
2103 ro11 -700.000
2109 ro51/2 -1.500.000
211004 -59.000
211105 -15.000
</t>
        </r>
      </text>
    </comment>
    <comment ref="D451" authorId="0" shapeId="0">
      <text>
        <r>
          <rPr>
            <b/>
            <sz val="9"/>
            <color indexed="81"/>
            <rFont val="Tahoma"/>
            <family val="2"/>
            <charset val="238"/>
          </rPr>
          <t>Jana Holíková:</t>
        </r>
        <r>
          <rPr>
            <sz val="9"/>
            <color indexed="81"/>
            <rFont val="Tahoma"/>
            <family val="2"/>
            <charset val="238"/>
          </rPr>
          <t xml:space="preserve">
211212 +42.000</t>
        </r>
      </text>
    </comment>
    <comment ref="D452" authorId="0" shapeId="0">
      <text>
        <r>
          <rPr>
            <b/>
            <sz val="9"/>
            <color indexed="81"/>
            <rFont val="Tahoma"/>
            <family val="2"/>
            <charset val="238"/>
          </rPr>
          <t>Jana Holíková:</t>
        </r>
        <r>
          <rPr>
            <sz val="9"/>
            <color indexed="81"/>
            <rFont val="Tahoma"/>
            <family val="2"/>
            <charset val="238"/>
          </rPr>
          <t xml:space="preserve">
211004 +59.000</t>
        </r>
      </text>
    </comment>
    <comment ref="D456" authorId="0" shapeId="0">
      <text>
        <r>
          <rPr>
            <b/>
            <sz val="9"/>
            <color indexed="81"/>
            <rFont val="Tahoma"/>
            <family val="2"/>
            <charset val="238"/>
          </rPr>
          <t>Jana Holíková:</t>
        </r>
        <r>
          <rPr>
            <sz val="9"/>
            <color indexed="81"/>
            <rFont val="Tahoma"/>
            <family val="2"/>
            <charset val="238"/>
          </rPr>
          <t xml:space="preserve">
2109 ro51/2 -1.854.000</t>
        </r>
      </text>
    </comment>
    <comment ref="D460" authorId="2" shapeId="0">
      <text>
        <r>
          <rPr>
            <b/>
            <sz val="9"/>
            <color indexed="81"/>
            <rFont val="Tahoma"/>
            <family val="2"/>
            <charset val="238"/>
          </rPr>
          <t>Jana:</t>
        </r>
        <r>
          <rPr>
            <sz val="9"/>
            <color indexed="81"/>
            <rFont val="Tahoma"/>
            <family val="2"/>
            <charset val="238"/>
          </rPr>
          <t xml:space="preserve">
2105 ro48 -6.000.000</t>
        </r>
      </text>
    </comment>
    <comment ref="D462" authorId="0" shapeId="0">
      <text>
        <r>
          <rPr>
            <b/>
            <sz val="9"/>
            <color indexed="81"/>
            <rFont val="Tahoma"/>
            <family val="2"/>
            <charset val="238"/>
          </rPr>
          <t>Jana Holíková:</t>
        </r>
        <r>
          <rPr>
            <sz val="9"/>
            <color indexed="81"/>
            <rFont val="Tahoma"/>
            <family val="2"/>
            <charset val="238"/>
          </rPr>
          <t xml:space="preserve">
2103 ro11 -1.000.000
2109 ro91 +-2.000.000
2111 ro91 revokace
-2.000.000</t>
        </r>
      </text>
    </comment>
    <comment ref="D463" authorId="2" shapeId="0">
      <text>
        <r>
          <rPr>
            <b/>
            <sz val="9"/>
            <color indexed="81"/>
            <rFont val="Tahoma"/>
            <family val="2"/>
            <charset val="238"/>
          </rPr>
          <t>Jana:</t>
        </r>
        <r>
          <rPr>
            <sz val="9"/>
            <color indexed="81"/>
            <rFont val="Tahoma"/>
            <family val="2"/>
            <charset val="238"/>
          </rPr>
          <t xml:space="preserve">
210403 -60.000</t>
        </r>
      </text>
    </comment>
    <comment ref="D467" authorId="2" shapeId="0">
      <text>
        <r>
          <rPr>
            <b/>
            <sz val="9"/>
            <color indexed="81"/>
            <rFont val="Tahoma"/>
            <family val="2"/>
            <charset val="238"/>
          </rPr>
          <t>Jana:</t>
        </r>
        <r>
          <rPr>
            <sz val="9"/>
            <color indexed="81"/>
            <rFont val="Tahoma"/>
            <family val="2"/>
            <charset val="238"/>
          </rPr>
          <t xml:space="preserve">
210403 +60.000</t>
        </r>
      </text>
    </comment>
    <comment ref="D469" authorId="0" shapeId="0">
      <text>
        <r>
          <rPr>
            <b/>
            <sz val="9"/>
            <color indexed="81"/>
            <rFont val="Tahoma"/>
            <family val="2"/>
            <charset val="238"/>
          </rPr>
          <t>Jana Holíková:</t>
        </r>
        <r>
          <rPr>
            <sz val="9"/>
            <color indexed="81"/>
            <rFont val="Tahoma"/>
            <family val="2"/>
            <charset val="238"/>
          </rPr>
          <t xml:space="preserve">
211205 -1.500.000</t>
        </r>
      </text>
    </comment>
    <comment ref="D470" authorId="2" shapeId="0">
      <text>
        <r>
          <rPr>
            <b/>
            <sz val="9"/>
            <color indexed="81"/>
            <rFont val="Tahoma"/>
            <family val="2"/>
            <charset val="238"/>
          </rPr>
          <t>Jana:</t>
        </r>
        <r>
          <rPr>
            <sz val="9"/>
            <color indexed="81"/>
            <rFont val="Tahoma"/>
            <family val="2"/>
            <charset val="238"/>
          </rPr>
          <t xml:space="preserve">
2105 ro41 -8.000.000
2109 ro51/2 -18.000.000
211205 +1.500.000
2112 ro51/3 +1.000.000</t>
        </r>
      </text>
    </comment>
    <comment ref="D472" authorId="2" shapeId="0">
      <text>
        <r>
          <rPr>
            <b/>
            <sz val="9"/>
            <color indexed="81"/>
            <rFont val="Tahoma"/>
            <family val="2"/>
            <charset val="238"/>
          </rPr>
          <t>Jana:</t>
        </r>
        <r>
          <rPr>
            <sz val="9"/>
            <color indexed="81"/>
            <rFont val="Tahoma"/>
            <family val="2"/>
            <charset val="238"/>
          </rPr>
          <t xml:space="preserve">
2106 ro52 -150.000</t>
        </r>
      </text>
    </comment>
    <comment ref="D473" authorId="2" shapeId="0">
      <text>
        <r>
          <rPr>
            <b/>
            <sz val="9"/>
            <color indexed="81"/>
            <rFont val="Tahoma"/>
            <family val="2"/>
            <charset val="238"/>
          </rPr>
          <t>Jana:</t>
        </r>
        <r>
          <rPr>
            <sz val="9"/>
            <color indexed="81"/>
            <rFont val="Tahoma"/>
            <family val="2"/>
            <charset val="238"/>
          </rPr>
          <t xml:space="preserve">
2106 ro52 -150.000</t>
        </r>
      </text>
    </comment>
    <comment ref="D477" authorId="0" shapeId="0">
      <text>
        <r>
          <rPr>
            <b/>
            <sz val="9"/>
            <color indexed="81"/>
            <rFont val="Tahoma"/>
            <family val="2"/>
            <charset val="238"/>
          </rPr>
          <t>Jana Holíková:</t>
        </r>
        <r>
          <rPr>
            <sz val="9"/>
            <color indexed="81"/>
            <rFont val="Tahoma"/>
            <family val="2"/>
            <charset val="238"/>
          </rPr>
          <t xml:space="preserve">
2103 ro18 -810.000
2103 ro25 +2.000.000</t>
        </r>
      </text>
    </comment>
    <comment ref="D478" authorId="0" shapeId="0">
      <text>
        <r>
          <rPr>
            <b/>
            <sz val="9"/>
            <color indexed="81"/>
            <rFont val="Tahoma"/>
            <family val="2"/>
            <charset val="238"/>
          </rPr>
          <t>Jana Holíková:</t>
        </r>
        <r>
          <rPr>
            <sz val="9"/>
            <color indexed="81"/>
            <rFont val="Tahoma"/>
            <family val="2"/>
            <charset val="238"/>
          </rPr>
          <t xml:space="preserve">
2103 ro18 -2.095.129</t>
        </r>
      </text>
    </comment>
    <comment ref="D479" authorId="0" shapeId="0">
      <text>
        <r>
          <rPr>
            <b/>
            <sz val="9"/>
            <color indexed="81"/>
            <rFont val="Tahoma"/>
            <family val="2"/>
            <charset val="238"/>
          </rPr>
          <t>Jana Holíková:</t>
        </r>
        <r>
          <rPr>
            <sz val="9"/>
            <color indexed="81"/>
            <rFont val="Tahoma"/>
            <family val="2"/>
            <charset val="238"/>
          </rPr>
          <t xml:space="preserve">
2103 ro18 -20.000</t>
        </r>
      </text>
    </comment>
    <comment ref="D482" authorId="0" shapeId="0">
      <text>
        <r>
          <rPr>
            <b/>
            <sz val="9"/>
            <color indexed="81"/>
            <rFont val="Tahoma"/>
            <family val="2"/>
            <charset val="238"/>
          </rPr>
          <t>Jana Holíková:</t>
        </r>
        <r>
          <rPr>
            <sz val="9"/>
            <color indexed="81"/>
            <rFont val="Tahoma"/>
            <family val="2"/>
            <charset val="238"/>
          </rPr>
          <t xml:space="preserve">
2108 ro81 -23.327</t>
        </r>
      </text>
    </comment>
    <comment ref="D483" authorId="2" shapeId="0">
      <text>
        <r>
          <rPr>
            <b/>
            <sz val="9"/>
            <color indexed="81"/>
            <rFont val="Tahoma"/>
            <family val="2"/>
            <charset val="238"/>
          </rPr>
          <t>Jana:</t>
        </r>
        <r>
          <rPr>
            <sz val="9"/>
            <color indexed="81"/>
            <rFont val="Tahoma"/>
            <family val="2"/>
            <charset val="238"/>
          </rPr>
          <t xml:space="preserve">
2104 ro36 +100.000
2108 ro81 -1.232.877</t>
        </r>
      </text>
    </comment>
    <comment ref="D484" authorId="0" shapeId="0">
      <text>
        <r>
          <rPr>
            <b/>
            <sz val="9"/>
            <color indexed="81"/>
            <rFont val="Tahoma"/>
            <family val="2"/>
            <charset val="238"/>
          </rPr>
          <t>Jana Holíková:</t>
        </r>
        <r>
          <rPr>
            <sz val="9"/>
            <color indexed="81"/>
            <rFont val="Tahoma"/>
            <family val="2"/>
            <charset val="238"/>
          </rPr>
          <t xml:space="preserve">
2108 ro81 -20.000</t>
        </r>
      </text>
    </comment>
    <comment ref="D485" authorId="0" shapeId="0">
      <text>
        <r>
          <rPr>
            <b/>
            <sz val="9"/>
            <color indexed="81"/>
            <rFont val="Tahoma"/>
            <family val="2"/>
            <charset val="238"/>
          </rPr>
          <t>Jana Holíková:</t>
        </r>
        <r>
          <rPr>
            <sz val="9"/>
            <color indexed="81"/>
            <rFont val="Tahoma"/>
            <family val="2"/>
            <charset val="238"/>
          </rPr>
          <t xml:space="preserve">
2108 ro81 -125.000</t>
        </r>
      </text>
    </comment>
    <comment ref="D489" authorId="0" shapeId="0">
      <text>
        <r>
          <rPr>
            <b/>
            <sz val="9"/>
            <color indexed="81"/>
            <rFont val="Tahoma"/>
            <family val="2"/>
            <charset val="238"/>
          </rPr>
          <t>Jana Holíková:</t>
        </r>
        <r>
          <rPr>
            <sz val="9"/>
            <color indexed="81"/>
            <rFont val="Tahoma"/>
            <family val="2"/>
            <charset val="238"/>
          </rPr>
          <t xml:space="preserve">
2108 ro81 
-6.000 -16.000 -4.000</t>
        </r>
      </text>
    </comment>
    <comment ref="D492" authorId="0" shapeId="0">
      <text>
        <r>
          <rPr>
            <b/>
            <sz val="9"/>
            <color indexed="81"/>
            <rFont val="Tahoma"/>
            <family val="2"/>
            <charset val="238"/>
          </rPr>
          <t>Jana Holíková:</t>
        </r>
        <r>
          <rPr>
            <sz val="9"/>
            <color indexed="81"/>
            <rFont val="Tahoma"/>
            <family val="2"/>
            <charset val="238"/>
          </rPr>
          <t xml:space="preserve">
2108 ro81 -59.000
2108 ro51/1 +118.000
</t>
        </r>
      </text>
    </comment>
    <comment ref="D493" authorId="0" shapeId="0">
      <text>
        <r>
          <rPr>
            <b/>
            <sz val="9"/>
            <color indexed="81"/>
            <rFont val="Tahoma"/>
            <family val="2"/>
            <charset val="238"/>
          </rPr>
          <t>Jana Holíková:</t>
        </r>
        <r>
          <rPr>
            <sz val="9"/>
            <color indexed="81"/>
            <rFont val="Tahoma"/>
            <family val="2"/>
            <charset val="238"/>
          </rPr>
          <t xml:space="preserve">
2108 ro81 -55.360
210803 -60.000</t>
        </r>
      </text>
    </comment>
    <comment ref="D494" authorId="0" shapeId="0">
      <text>
        <r>
          <rPr>
            <b/>
            <sz val="9"/>
            <color indexed="81"/>
            <rFont val="Tahoma"/>
            <family val="2"/>
            <charset val="238"/>
          </rPr>
          <t>Jana Holíková:</t>
        </r>
        <r>
          <rPr>
            <sz val="9"/>
            <color indexed="81"/>
            <rFont val="Tahoma"/>
            <family val="2"/>
            <charset val="238"/>
          </rPr>
          <t xml:space="preserve">
210803 +60.000</t>
        </r>
      </text>
    </comment>
    <comment ref="D495" authorId="0" shapeId="0">
      <text>
        <r>
          <rPr>
            <b/>
            <sz val="9"/>
            <color indexed="81"/>
            <rFont val="Tahoma"/>
            <family val="2"/>
            <charset val="238"/>
          </rPr>
          <t>Jana Holíková:</t>
        </r>
        <r>
          <rPr>
            <sz val="9"/>
            <color indexed="81"/>
            <rFont val="Tahoma"/>
            <family val="2"/>
            <charset val="238"/>
          </rPr>
          <t xml:space="preserve">
2103 ro11 -150.000
2108 ro81 -138.399</t>
        </r>
      </text>
    </comment>
    <comment ref="D502" authorId="0" shapeId="0">
      <text>
        <r>
          <rPr>
            <b/>
            <sz val="9"/>
            <color indexed="81"/>
            <rFont val="Tahoma"/>
            <family val="2"/>
            <charset val="238"/>
          </rPr>
          <t>Jana Holíková:</t>
        </r>
        <r>
          <rPr>
            <sz val="9"/>
            <color indexed="81"/>
            <rFont val="Tahoma"/>
            <family val="2"/>
            <charset val="238"/>
          </rPr>
          <t xml:space="preserve">
2109 ro87 
+702.000 úz98071
-499.000 bez úz
2112 ro51/3 +698.024,75 -659.315,10 -1.000</t>
        </r>
      </text>
    </comment>
    <comment ref="D512" authorId="0" shapeId="0">
      <text>
        <r>
          <rPr>
            <b/>
            <sz val="9"/>
            <color indexed="81"/>
            <rFont val="Tahoma"/>
            <family val="2"/>
            <charset val="238"/>
          </rPr>
          <t>Jana Holíková:</t>
        </r>
        <r>
          <rPr>
            <sz val="9"/>
            <color indexed="81"/>
            <rFont val="Tahoma"/>
            <family val="2"/>
            <charset val="238"/>
          </rPr>
          <t xml:space="preserve">
2103 ro11 -60.000
2110 ro98 +211.024 +42.686 +35.680</t>
        </r>
      </text>
    </comment>
    <comment ref="D513" authorId="0" shapeId="0">
      <text>
        <r>
          <rPr>
            <b/>
            <sz val="9"/>
            <color indexed="81"/>
            <rFont val="Tahoma"/>
            <family val="2"/>
            <charset val="238"/>
          </rPr>
          <t>Jana Holíková:</t>
        </r>
        <r>
          <rPr>
            <sz val="9"/>
            <color indexed="81"/>
            <rFont val="Tahoma"/>
            <family val="2"/>
            <charset val="238"/>
          </rPr>
          <t xml:space="preserve">
2110 ro95 +250.502,77
2111 ro119 -50.959,71
</t>
        </r>
      </text>
    </comment>
    <comment ref="D514" authorId="2" shapeId="0">
      <text>
        <r>
          <rPr>
            <b/>
            <sz val="9"/>
            <color indexed="81"/>
            <rFont val="Tahoma"/>
            <family val="2"/>
            <charset val="238"/>
          </rPr>
          <t>Jana:</t>
        </r>
        <r>
          <rPr>
            <sz val="9"/>
            <color indexed="81"/>
            <rFont val="Tahoma"/>
            <family val="2"/>
            <charset val="238"/>
          </rPr>
          <t xml:space="preserve">
2104 ro38 -1.000.000
2110 ro98 
-211.024 +-27.820 -250.502,77 -42.686 -35.680 -1.129.135,83</t>
        </r>
      </text>
    </comment>
    <comment ref="D517" authorId="0" shapeId="0">
      <text>
        <r>
          <rPr>
            <b/>
            <sz val="9"/>
            <color indexed="81"/>
            <rFont val="Tahoma"/>
            <family val="2"/>
            <charset val="238"/>
          </rPr>
          <t>Jana Holíková:</t>
        </r>
        <r>
          <rPr>
            <sz val="9"/>
            <color indexed="81"/>
            <rFont val="Tahoma"/>
            <family val="2"/>
            <charset val="238"/>
          </rPr>
          <t xml:space="preserve">
2102 ro7 +35.940
2103 ro11 -140.000</t>
        </r>
      </text>
    </comment>
    <comment ref="D518" authorId="0" shapeId="0">
      <text>
        <r>
          <rPr>
            <b/>
            <sz val="9"/>
            <color indexed="81"/>
            <rFont val="Tahoma"/>
            <family val="2"/>
            <charset val="238"/>
          </rPr>
          <t>Jana Holíková:</t>
        </r>
        <r>
          <rPr>
            <sz val="9"/>
            <color indexed="81"/>
            <rFont val="Tahoma"/>
            <family val="2"/>
            <charset val="238"/>
          </rPr>
          <t xml:space="preserve">
2112 ro126 +65.135,92</t>
        </r>
      </text>
    </comment>
    <comment ref="D521" authorId="0" shapeId="0">
      <text>
        <r>
          <rPr>
            <b/>
            <sz val="9"/>
            <color indexed="81"/>
            <rFont val="Tahoma"/>
            <family val="2"/>
            <charset val="238"/>
          </rPr>
          <t>Jana Holíková:</t>
        </r>
        <r>
          <rPr>
            <sz val="9"/>
            <color indexed="81"/>
            <rFont val="Tahoma"/>
            <family val="2"/>
            <charset val="238"/>
          </rPr>
          <t xml:space="preserve">
2102 ro3 úz33063
+ 70.381,36 1031
+398.827,64 1035
2102 ro7 +27.775</t>
        </r>
      </text>
    </comment>
    <comment ref="D522" authorId="0" shapeId="0">
      <text>
        <r>
          <rPr>
            <b/>
            <sz val="9"/>
            <color indexed="81"/>
            <rFont val="Tahoma"/>
            <family val="2"/>
            <charset val="238"/>
          </rPr>
          <t>Jana Holíková:</t>
        </r>
        <r>
          <rPr>
            <sz val="9"/>
            <color indexed="81"/>
            <rFont val="Tahoma"/>
            <family val="2"/>
            <charset val="238"/>
          </rPr>
          <t xml:space="preserve">
2110 ro99 +117.865
2111 ro119 +18.509,29</t>
        </r>
      </text>
    </comment>
    <comment ref="D523" authorId="0" shapeId="0">
      <text>
        <r>
          <rPr>
            <b/>
            <sz val="9"/>
            <color indexed="81"/>
            <rFont val="Tahoma"/>
            <family val="2"/>
            <charset val="238"/>
          </rPr>
          <t>Jana Holíková:</t>
        </r>
        <r>
          <rPr>
            <sz val="9"/>
            <color indexed="81"/>
            <rFont val="Tahoma"/>
            <family val="2"/>
            <charset val="238"/>
          </rPr>
          <t xml:space="preserve">
2110 ro99 
-117.865 -411.753,45</t>
        </r>
      </text>
    </comment>
    <comment ref="D526" authorId="0" shapeId="0">
      <text>
        <r>
          <rPr>
            <b/>
            <sz val="9"/>
            <color indexed="81"/>
            <rFont val="Tahoma"/>
            <family val="2"/>
            <charset val="238"/>
          </rPr>
          <t>Jana Holíková:</t>
        </r>
        <r>
          <rPr>
            <sz val="9"/>
            <color indexed="81"/>
            <rFont val="Tahoma"/>
            <family val="2"/>
            <charset val="238"/>
          </rPr>
          <t xml:space="preserve">
2111 ro116 -39.930 r
2111 ro118 -174.549,84 r
2111 ro119 -18.509,29 r
2112 ro126 -65.135,92 r
2112 ro127 -25.838 r</t>
        </r>
      </text>
    </comment>
    <comment ref="D532" authorId="0" shapeId="0">
      <text>
        <r>
          <rPr>
            <b/>
            <sz val="9"/>
            <color indexed="81"/>
            <rFont val="Tahoma"/>
            <family val="2"/>
            <charset val="238"/>
          </rPr>
          <t>Jana Holíková:</t>
        </r>
        <r>
          <rPr>
            <sz val="9"/>
            <color indexed="81"/>
            <rFont val="Tahoma"/>
            <family val="2"/>
            <charset val="238"/>
          </rPr>
          <t xml:space="preserve">
2102 ro6 +7.932
2103 ro11 -300.000
2107 ro72 33063
+205.074,76 1031
+1.162.090,24 1035
2109 ro92
+157.016,39 17015 1071
+2.669.278,68 17016 1075
2110 ro95 úz13014 1201,5
+4.839,58 +27.424,29
2110 ro105 +1.029.607,24
2112 ro127 +1.014.582,83</t>
        </r>
      </text>
    </comment>
    <comment ref="D533" authorId="2" shapeId="0">
      <text>
        <r>
          <rPr>
            <b/>
            <sz val="9"/>
            <color indexed="81"/>
            <rFont val="Tahoma"/>
            <family val="2"/>
            <charset val="238"/>
          </rPr>
          <t>Jana:</t>
        </r>
        <r>
          <rPr>
            <sz val="9"/>
            <color indexed="81"/>
            <rFont val="Tahoma"/>
            <family val="2"/>
            <charset val="238"/>
          </rPr>
          <t xml:space="preserve">
2105 ro39 +5.000
2109 ro90 -467.110</t>
        </r>
      </text>
    </comment>
    <comment ref="D534" authorId="0" shapeId="0">
      <text>
        <r>
          <rPr>
            <b/>
            <sz val="9"/>
            <color indexed="81"/>
            <rFont val="Tahoma"/>
            <family val="2"/>
            <charset val="238"/>
          </rPr>
          <t>Jana Holíková:</t>
        </r>
        <r>
          <rPr>
            <sz val="9"/>
            <color indexed="81"/>
            <rFont val="Tahoma"/>
            <family val="2"/>
            <charset val="238"/>
          </rPr>
          <t xml:space="preserve">
2109 ro90
-334.494,10 +711.945,80
2109 ro92
+142.709,29 17968 1071
+2.426.057,88 17969 1075
2110 ro105 -1.029.607,24
2112 ro127 
+25.838 -1.014.582,83</t>
        </r>
      </text>
    </comment>
    <comment ref="D537" authorId="0" shapeId="0">
      <text>
        <r>
          <rPr>
            <b/>
            <sz val="9"/>
            <color indexed="81"/>
            <rFont val="Tahoma"/>
            <family val="2"/>
            <charset val="238"/>
          </rPr>
          <t>Jana Holíková:</t>
        </r>
        <r>
          <rPr>
            <sz val="9"/>
            <color indexed="81"/>
            <rFont val="Tahoma"/>
            <family val="2"/>
            <charset val="238"/>
          </rPr>
          <t xml:space="preserve">
2103 ro11 -30.000
2110 ro95 úz13014 1201,5
+2.670,26 +15.131,44
2111 ro116 
-24.020 +1.094.770,73 +126.901,23 +39.930
2112 ro125
+   63.450,62 17015 1071
+1.078.660,51 17016 1075</t>
        </r>
      </text>
    </comment>
    <comment ref="D538" authorId="0" shapeId="0">
      <text>
        <r>
          <rPr>
            <b/>
            <sz val="9"/>
            <color indexed="81"/>
            <rFont val="Tahoma"/>
            <family val="2"/>
            <charset val="238"/>
          </rPr>
          <t>Jana Holíková:</t>
        </r>
        <r>
          <rPr>
            <sz val="9"/>
            <color indexed="81"/>
            <rFont val="Tahoma"/>
            <family val="2"/>
            <charset val="238"/>
          </rPr>
          <t xml:space="preserve">
2109 ro86 -180.000</t>
        </r>
      </text>
    </comment>
    <comment ref="D539" authorId="0" shapeId="0">
      <text>
        <r>
          <rPr>
            <b/>
            <sz val="9"/>
            <color indexed="81"/>
            <rFont val="Tahoma"/>
            <family val="2"/>
            <charset val="238"/>
          </rPr>
          <t>Jana Holíková:</t>
        </r>
        <r>
          <rPr>
            <sz val="9"/>
            <color indexed="81"/>
            <rFont val="Tahoma"/>
            <family val="2"/>
            <charset val="238"/>
          </rPr>
          <t xml:space="preserve">
2109 ro86 +180.000
2111 ro116 
-2.112.330,91 -1.094.770,73 -126.901,23
2112 ro125
+  155.438,30 17968 1071
+2.642.451,15 17969 1075
-222</t>
        </r>
      </text>
    </comment>
    <comment ref="D542" authorId="0" shapeId="0">
      <text>
        <r>
          <rPr>
            <b/>
            <sz val="9"/>
            <color indexed="81"/>
            <rFont val="Tahoma"/>
            <family val="2"/>
            <charset val="238"/>
          </rPr>
          <t>Jana Holíková:</t>
        </r>
        <r>
          <rPr>
            <sz val="9"/>
            <color indexed="81"/>
            <rFont val="Tahoma"/>
            <family val="2"/>
            <charset val="238"/>
          </rPr>
          <t xml:space="preserve">
2102 ro 2
 +   68.450,27 úz 17015, náz 1071
+1.163.654,63 úz 17016, náz 1075 
2103 ro11 -80.000
2110 ro95 úz13014 1201,5
+4.369,37 +24.759,73
2111 ro117 -88.468,35</t>
        </r>
      </text>
    </comment>
    <comment ref="D543" authorId="2" shapeId="0">
      <text>
        <r>
          <rPr>
            <b/>
            <sz val="9"/>
            <color indexed="81"/>
            <rFont val="Tahoma"/>
            <family val="2"/>
            <charset val="238"/>
          </rPr>
          <t>Jana:</t>
        </r>
        <r>
          <rPr>
            <sz val="9"/>
            <color indexed="81"/>
            <rFont val="Tahoma"/>
            <family val="2"/>
            <charset val="238"/>
          </rPr>
          <t xml:space="preserve">
2105 ro38 -2.000.000
2111 ro117 -395.556,08</t>
        </r>
      </text>
    </comment>
    <comment ref="D544" authorId="0" shapeId="0">
      <text>
        <r>
          <rPr>
            <b/>
            <sz val="9"/>
            <color indexed="81"/>
            <rFont val="Tahoma"/>
            <family val="2"/>
            <charset val="238"/>
          </rPr>
          <t>Jana Holíková:</t>
        </r>
        <r>
          <rPr>
            <sz val="9"/>
            <color indexed="81"/>
            <rFont val="Tahoma"/>
            <family val="2"/>
            <charset val="238"/>
          </rPr>
          <t xml:space="preserve">
2102 ro 2
+  51.518,6 úz17968 náz 1071
+875.816,2 úz17969 náz 1075
2111 ro117 -65.336,86</t>
        </r>
      </text>
    </comment>
    <comment ref="D547" authorId="0" shapeId="0">
      <text>
        <r>
          <rPr>
            <b/>
            <sz val="9"/>
            <color indexed="81"/>
            <rFont val="Tahoma"/>
            <family val="2"/>
            <charset val="238"/>
          </rPr>
          <t>Jana Holíková:</t>
        </r>
        <r>
          <rPr>
            <sz val="9"/>
            <color indexed="81"/>
            <rFont val="Tahoma"/>
            <family val="2"/>
            <charset val="238"/>
          </rPr>
          <t xml:space="preserve">
2103 ro11 -40.000
2103 ro24 úz33063
+169.419,91 1031
+960.046,09 1035
</t>
        </r>
      </text>
    </comment>
    <comment ref="D548" authorId="0" shapeId="0">
      <text>
        <r>
          <rPr>
            <b/>
            <sz val="9"/>
            <color indexed="81"/>
            <rFont val="Tahoma"/>
            <family val="2"/>
            <charset val="238"/>
          </rPr>
          <t>Jana Holíková:</t>
        </r>
        <r>
          <rPr>
            <sz val="9"/>
            <color indexed="81"/>
            <rFont val="Tahoma"/>
            <family val="2"/>
            <charset val="238"/>
          </rPr>
          <t xml:space="preserve">
2110 ro97 -1.681</t>
        </r>
      </text>
    </comment>
    <comment ref="D549" authorId="0" shapeId="0">
      <text>
        <r>
          <rPr>
            <b/>
            <sz val="9"/>
            <color indexed="81"/>
            <rFont val="Tahoma"/>
            <family val="2"/>
            <charset val="238"/>
          </rPr>
          <t>Jana Holíková:</t>
        </r>
        <r>
          <rPr>
            <sz val="9"/>
            <color indexed="81"/>
            <rFont val="Tahoma"/>
            <family val="2"/>
            <charset val="238"/>
          </rPr>
          <t xml:space="preserve">
2112 ro128 
-3 -1.120.000</t>
        </r>
      </text>
    </comment>
    <comment ref="D553" authorId="0" shapeId="0">
      <text>
        <r>
          <rPr>
            <b/>
            <sz val="9"/>
            <color indexed="81"/>
            <rFont val="Tahoma"/>
            <family val="2"/>
            <charset val="238"/>
          </rPr>
          <t>Jana Holíková:</t>
        </r>
        <r>
          <rPr>
            <sz val="9"/>
            <color indexed="81"/>
            <rFont val="Tahoma"/>
            <family val="2"/>
            <charset val="238"/>
          </rPr>
          <t xml:space="preserve">
2103 ro11 -40.000
2106 ro56 +62.300 úz33166
2106 ro55 +106.000 úz133
2109 ro51/1 -6.000 úz133
2111 ro118 -100.000
2111 ro56/1 -7.892,36 úz33166
2112 ro134 +15.000 úz33166</t>
        </r>
      </text>
    </comment>
    <comment ref="D554" authorId="0" shapeId="0">
      <text>
        <r>
          <rPr>
            <b/>
            <sz val="9"/>
            <color indexed="81"/>
            <rFont val="Tahoma"/>
            <family val="2"/>
            <charset val="238"/>
          </rPr>
          <t>Jana Holíková:</t>
        </r>
        <r>
          <rPr>
            <sz val="9"/>
            <color indexed="81"/>
            <rFont val="Tahoma"/>
            <family val="2"/>
            <charset val="238"/>
          </rPr>
          <t xml:space="preserve">
2111 ro118 +174.549,84</t>
        </r>
      </text>
    </comment>
    <comment ref="D555" authorId="0" shapeId="0">
      <text>
        <r>
          <rPr>
            <b/>
            <sz val="9"/>
            <color indexed="81"/>
            <rFont val="Tahoma"/>
            <family val="2"/>
            <charset val="238"/>
          </rPr>
          <t>Jana Holíková:</t>
        </r>
        <r>
          <rPr>
            <sz val="9"/>
            <color indexed="81"/>
            <rFont val="Tahoma"/>
            <family val="2"/>
            <charset val="238"/>
          </rPr>
          <t xml:space="preserve">
2108 ro78 -12.650.000
2111 ro118 -4.572.567,33</t>
        </r>
      </text>
    </comment>
    <comment ref="D556" authorId="0" shapeId="0">
      <text>
        <r>
          <rPr>
            <b/>
            <sz val="9"/>
            <color indexed="81"/>
            <rFont val="Tahoma"/>
            <family val="2"/>
            <charset val="238"/>
          </rPr>
          <t>Jana Holíková:</t>
        </r>
        <r>
          <rPr>
            <sz val="9"/>
            <color indexed="81"/>
            <rFont val="Tahoma"/>
            <family val="2"/>
            <charset val="238"/>
          </rPr>
          <t xml:space="preserve">
2107 ro68 -80.000</t>
        </r>
      </text>
    </comment>
    <comment ref="D559" authorId="0" shapeId="0">
      <text>
        <r>
          <rPr>
            <b/>
            <sz val="9"/>
            <color indexed="81"/>
            <rFont val="Tahoma"/>
            <family val="2"/>
            <charset val="238"/>
          </rPr>
          <t>Jana Holíková:</t>
        </r>
        <r>
          <rPr>
            <sz val="9"/>
            <color indexed="81"/>
            <rFont val="Tahoma"/>
            <family val="2"/>
            <charset val="238"/>
          </rPr>
          <t xml:space="preserve">
2102 ro7 +25.236
2103 ro11 -100.000  
2110 ro102 +7.406
2112 ro130 -1.200.000</t>
        </r>
      </text>
    </comment>
    <comment ref="D560" authorId="0" shapeId="0">
      <text>
        <r>
          <rPr>
            <b/>
            <sz val="9"/>
            <color indexed="81"/>
            <rFont val="Tahoma"/>
            <family val="2"/>
            <charset val="238"/>
          </rPr>
          <t>Jana Holíková:</t>
        </r>
        <r>
          <rPr>
            <sz val="9"/>
            <color indexed="81"/>
            <rFont val="Tahoma"/>
            <family val="2"/>
            <charset val="238"/>
          </rPr>
          <t xml:space="preserve">
2103 ro11 -2.000.000
2111 ro120 -9.406.511,28
2112 ro130 -422.772,30</t>
        </r>
      </text>
    </comment>
    <comment ref="D563" authorId="0" shapeId="0">
      <text>
        <r>
          <rPr>
            <b/>
            <sz val="9"/>
            <color indexed="81"/>
            <rFont val="Tahoma"/>
            <family val="2"/>
            <charset val="238"/>
          </rPr>
          <t>Jana Holíková:</t>
        </r>
        <r>
          <rPr>
            <sz val="9"/>
            <color indexed="81"/>
            <rFont val="Tahoma"/>
            <family val="2"/>
            <charset val="238"/>
          </rPr>
          <t xml:space="preserve">
2107 ro68 -100.000</t>
        </r>
      </text>
    </comment>
    <comment ref="D567" authorId="0" shapeId="0">
      <text>
        <r>
          <rPr>
            <b/>
            <sz val="9"/>
            <color indexed="81"/>
            <rFont val="Tahoma"/>
            <family val="2"/>
            <charset val="238"/>
          </rPr>
          <t>Jana Holíková:</t>
        </r>
        <r>
          <rPr>
            <sz val="9"/>
            <color indexed="81"/>
            <rFont val="Tahoma"/>
            <family val="2"/>
            <charset val="238"/>
          </rPr>
          <t xml:space="preserve">
2107 ro68 +180.000
2110 ro68změna
-40.000
2111 ro112 +141.000 úz34054</t>
        </r>
      </text>
    </comment>
    <comment ref="D569" authorId="0" shapeId="0">
      <text>
        <r>
          <rPr>
            <b/>
            <sz val="9"/>
            <color indexed="81"/>
            <rFont val="Tahoma"/>
            <family val="2"/>
            <charset val="238"/>
          </rPr>
          <t>Jana Holíková:</t>
        </r>
        <r>
          <rPr>
            <sz val="9"/>
            <color indexed="81"/>
            <rFont val="Tahoma"/>
            <family val="2"/>
            <charset val="238"/>
          </rPr>
          <t xml:space="preserve">
2110 ro68změna
+40.000</t>
        </r>
      </text>
    </comment>
    <comment ref="D574" authorId="0" shapeId="0">
      <text>
        <r>
          <rPr>
            <b/>
            <sz val="9"/>
            <color indexed="81"/>
            <rFont val="Tahoma"/>
            <family val="2"/>
            <charset val="238"/>
          </rPr>
          <t>Jana Holíková:</t>
        </r>
        <r>
          <rPr>
            <sz val="9"/>
            <color indexed="81"/>
            <rFont val="Tahoma"/>
            <family val="2"/>
            <charset val="238"/>
          </rPr>
          <t xml:space="preserve">
2102 ro4 úz345
+4.123.000
2103 ro11 -250.000
2103 ro18 +830.000
2103 ro27 +100.000 NJKL
2105 ro38 -300.000 -330000
2105 ro39 +8.243
2107 ro74 -244.970,18
2107 ro77 +382.000 úz34002
2110 ro94 -1.496.251,56
2110 ro102 +472
2112 ro129 -1.000.000</t>
        </r>
      </text>
    </comment>
    <comment ref="D576" authorId="2" shapeId="0">
      <text>
        <r>
          <rPr>
            <b/>
            <sz val="9"/>
            <color indexed="81"/>
            <rFont val="Tahoma"/>
            <family val="2"/>
            <charset val="238"/>
          </rPr>
          <t>Jana:</t>
        </r>
        <r>
          <rPr>
            <sz val="9"/>
            <color indexed="81"/>
            <rFont val="Tahoma"/>
            <family val="2"/>
            <charset val="238"/>
          </rPr>
          <t xml:space="preserve">
2105 ro38 +330.000
2106 ro57 +32.201
</t>
        </r>
      </text>
    </comment>
    <comment ref="D577" authorId="2" shapeId="0">
      <text>
        <r>
          <rPr>
            <b/>
            <sz val="9"/>
            <color indexed="81"/>
            <rFont val="Tahoma"/>
            <family val="2"/>
            <charset val="238"/>
          </rPr>
          <t>Jana:</t>
        </r>
        <r>
          <rPr>
            <sz val="9"/>
            <color indexed="81"/>
            <rFont val="Tahoma"/>
            <family val="2"/>
            <charset val="238"/>
          </rPr>
          <t xml:space="preserve">
2106 ro57 -32.201
</t>
        </r>
      </text>
    </comment>
    <comment ref="D590" authorId="0" shapeId="0">
      <text>
        <r>
          <rPr>
            <b/>
            <sz val="9"/>
            <color indexed="81"/>
            <rFont val="Tahoma"/>
            <family val="2"/>
            <charset val="238"/>
          </rPr>
          <t>Jana Holíková:</t>
        </r>
        <r>
          <rPr>
            <sz val="9"/>
            <color indexed="81"/>
            <rFont val="Tahoma"/>
            <family val="2"/>
            <charset val="238"/>
          </rPr>
          <t xml:space="preserve">
2103 ro19 +500.000
2103 ro20 -+90.000
2103 ro21 +79.385
2103 ro22 +267.145
2103 ro23 +213.939
2106 ro60 +-49.000 +60.000
2109 ro82 +100.000
2111 ro111 +-25.000
2112 ro122 +80.000</t>
        </r>
      </text>
    </comment>
    <comment ref="D593" authorId="0" shapeId="0">
      <text>
        <r>
          <rPr>
            <b/>
            <sz val="9"/>
            <color indexed="81"/>
            <rFont val="Tahoma"/>
            <family val="2"/>
            <charset val="238"/>
          </rPr>
          <t>Jana Holíková:</t>
        </r>
        <r>
          <rPr>
            <sz val="9"/>
            <color indexed="81"/>
            <rFont val="Tahoma"/>
            <family val="2"/>
            <charset val="238"/>
          </rPr>
          <t xml:space="preserve">
2110 ro104 +140.000 úz14036
2112 ro51/4 +-50.000</t>
        </r>
      </text>
    </comment>
    <comment ref="A597" authorId="0" shapeId="0">
      <text>
        <r>
          <rPr>
            <b/>
            <sz val="9"/>
            <color indexed="81"/>
            <rFont val="Tahoma"/>
            <family val="2"/>
            <charset val="238"/>
          </rPr>
          <t>Jana Holíková:</t>
        </r>
        <r>
          <rPr>
            <sz val="9"/>
            <color indexed="81"/>
            <rFont val="Tahoma"/>
            <family val="2"/>
            <charset val="238"/>
          </rPr>
          <t xml:space="preserve">
do 2018 - § 5262
od 2019 - § 5213</t>
        </r>
      </text>
    </comment>
    <comment ref="D600" authorId="0" shapeId="0">
      <text>
        <r>
          <rPr>
            <b/>
            <sz val="9"/>
            <color indexed="81"/>
            <rFont val="Tahoma"/>
            <family val="2"/>
            <charset val="238"/>
          </rPr>
          <t>Jana Holíková:</t>
        </r>
        <r>
          <rPr>
            <sz val="9"/>
            <color indexed="81"/>
            <rFont val="Tahoma"/>
            <family val="2"/>
            <charset val="238"/>
          </rPr>
          <t xml:space="preserve">
2111 ro115 +-208.529
2112 ro51/5 +3.600</t>
        </r>
      </text>
    </comment>
    <comment ref="D602" authorId="0" shapeId="0">
      <text>
        <r>
          <rPr>
            <b/>
            <sz val="9"/>
            <color indexed="81"/>
            <rFont val="Tahoma"/>
            <family val="2"/>
            <charset val="238"/>
          </rPr>
          <t>Jana Holíková:</t>
        </r>
        <r>
          <rPr>
            <sz val="9"/>
            <color indexed="81"/>
            <rFont val="Tahoma"/>
            <family val="2"/>
            <charset val="238"/>
          </rPr>
          <t xml:space="preserve">
2103 ro11 -400.000
2108 ro81 -1.500.000
2110 ro102 +12.587
211007 -62.000 
2111 ro110 +76.838
2111 ro112 +788.000 úz 34054
211216 -800.000</t>
        </r>
      </text>
    </comment>
    <comment ref="D603" authorId="0" shapeId="0">
      <text>
        <r>
          <rPr>
            <b/>
            <sz val="9"/>
            <color indexed="81"/>
            <rFont val="Tahoma"/>
            <family val="2"/>
            <charset val="238"/>
          </rPr>
          <t>Jana Holíková:</t>
        </r>
        <r>
          <rPr>
            <sz val="9"/>
            <color indexed="81"/>
            <rFont val="Tahoma"/>
            <family val="2"/>
            <charset val="238"/>
          </rPr>
          <t xml:space="preserve">
211007 +62.000
211216 +800.000</t>
        </r>
      </text>
    </comment>
    <comment ref="D604" authorId="0" shapeId="0">
      <text>
        <r>
          <rPr>
            <b/>
            <sz val="9"/>
            <color indexed="81"/>
            <rFont val="Tahoma"/>
            <family val="2"/>
            <charset val="238"/>
          </rPr>
          <t>Jana Holíková:</t>
        </r>
        <r>
          <rPr>
            <sz val="9"/>
            <color indexed="81"/>
            <rFont val="Tahoma"/>
            <family val="2"/>
            <charset val="238"/>
          </rPr>
          <t xml:space="preserve">
210810 +80.000
211106 -392.000+6.000</t>
        </r>
      </text>
    </comment>
    <comment ref="D605" authorId="2" shapeId="0">
      <text>
        <r>
          <rPr>
            <b/>
            <sz val="9"/>
            <color indexed="81"/>
            <rFont val="Tahoma"/>
            <family val="2"/>
            <charset val="238"/>
          </rPr>
          <t>Jana:</t>
        </r>
        <r>
          <rPr>
            <sz val="9"/>
            <color indexed="81"/>
            <rFont val="Tahoma"/>
            <family val="2"/>
            <charset val="238"/>
          </rPr>
          <t xml:space="preserve">
2104 ro31 úz13013
+  59.625  1041
+506.812,5 1045
210810 -80.000
211106 +386.000</t>
        </r>
      </text>
    </comment>
    <comment ref="D606" authorId="0" shapeId="0">
      <text>
        <r>
          <rPr>
            <b/>
            <sz val="9"/>
            <color indexed="81"/>
            <rFont val="Tahoma"/>
            <charset val="1"/>
          </rPr>
          <t>Jana Holíková:</t>
        </r>
        <r>
          <rPr>
            <sz val="9"/>
            <color indexed="81"/>
            <rFont val="Tahoma"/>
            <charset val="1"/>
          </rPr>
          <t xml:space="preserve">
2107 ro71 +300.000</t>
        </r>
      </text>
    </comment>
    <comment ref="D609" authorId="2" shapeId="0">
      <text>
        <r>
          <rPr>
            <b/>
            <sz val="9"/>
            <color indexed="81"/>
            <rFont val="Tahoma"/>
            <family val="2"/>
            <charset val="238"/>
          </rPr>
          <t>Jana:</t>
        </r>
        <r>
          <rPr>
            <sz val="9"/>
            <color indexed="81"/>
            <rFont val="Tahoma"/>
            <family val="2"/>
            <charset val="238"/>
          </rPr>
          <t xml:space="preserve">
2105 ro44 +-100.300
2107 ro66 +-100.300
2112 ro51/3 -37.631,94</t>
        </r>
      </text>
    </comment>
    <comment ref="D613" authorId="0" shapeId="0">
      <text>
        <r>
          <rPr>
            <b/>
            <sz val="9"/>
            <color indexed="81"/>
            <rFont val="Tahoma"/>
            <family val="2"/>
            <charset val="238"/>
          </rPr>
          <t>Jana Holíková:</t>
        </r>
        <r>
          <rPr>
            <sz val="9"/>
            <color indexed="81"/>
            <rFont val="Tahoma"/>
            <family val="2"/>
            <charset val="238"/>
          </rPr>
          <t xml:space="preserve">
2103 ro18 +2.095.129</t>
        </r>
      </text>
    </comment>
    <comment ref="D616" authorId="0" shapeId="0">
      <text>
        <r>
          <rPr>
            <b/>
            <sz val="9"/>
            <color indexed="81"/>
            <rFont val="Tahoma"/>
            <family val="2"/>
            <charset val="238"/>
          </rPr>
          <t>Jana Holíková:</t>
        </r>
        <r>
          <rPr>
            <sz val="9"/>
            <color indexed="81"/>
            <rFont val="Tahoma"/>
            <family val="2"/>
            <charset val="238"/>
          </rPr>
          <t xml:space="preserve">
2103 ro11 -490.000
2105 ro43 
-1.137.306 +1.211.186
2106 ro53 +91.988
2107 ro66 +728.860
</t>
        </r>
      </text>
    </comment>
    <comment ref="D617" authorId="2" shapeId="0">
      <text>
        <r>
          <rPr>
            <b/>
            <sz val="9"/>
            <color indexed="81"/>
            <rFont val="Tahoma"/>
            <family val="2"/>
            <charset val="238"/>
          </rPr>
          <t>Jana:</t>
        </r>
        <r>
          <rPr>
            <sz val="9"/>
            <color indexed="81"/>
            <rFont val="Tahoma"/>
            <family val="2"/>
            <charset val="238"/>
          </rPr>
          <t xml:space="preserve">
2105 ro44 +-3.467.650</t>
        </r>
      </text>
    </comment>
    <comment ref="D618" authorId="2" shapeId="0">
      <text>
        <r>
          <rPr>
            <b/>
            <sz val="9"/>
            <color indexed="81"/>
            <rFont val="Tahoma"/>
            <family val="2"/>
            <charset val="238"/>
          </rPr>
          <t>Jana:</t>
        </r>
        <r>
          <rPr>
            <sz val="9"/>
            <color indexed="81"/>
            <rFont val="Tahoma"/>
            <family val="2"/>
            <charset val="238"/>
          </rPr>
          <t xml:space="preserve">
2105 ro44 +-3.467.650
2107 ro66 
+ 4.321.750-4.201.510
2112 ro51/3 -124.630</t>
        </r>
      </text>
    </comment>
    <comment ref="D619" authorId="0" shapeId="0">
      <text>
        <r>
          <rPr>
            <b/>
            <sz val="9"/>
            <color indexed="81"/>
            <rFont val="Tahoma"/>
            <family val="2"/>
            <charset val="238"/>
          </rPr>
          <t>Jana Holíková:</t>
        </r>
        <r>
          <rPr>
            <sz val="9"/>
            <color indexed="81"/>
            <rFont val="Tahoma"/>
            <family val="2"/>
            <charset val="238"/>
          </rPr>
          <t xml:space="preserve">
2107 ro71 -300.000
2108 ro83 +2.000.000</t>
        </r>
      </text>
    </comment>
    <comment ref="D628" authorId="2" shapeId="0">
      <text>
        <r>
          <rPr>
            <b/>
            <sz val="9"/>
            <color indexed="81"/>
            <rFont val="Tahoma"/>
            <family val="2"/>
            <charset val="238"/>
          </rPr>
          <t>Jana:</t>
        </r>
        <r>
          <rPr>
            <sz val="9"/>
            <color indexed="81"/>
            <rFont val="Tahoma"/>
            <family val="2"/>
            <charset val="238"/>
          </rPr>
          <t xml:space="preserve">
2105 ro44 +-5.000
</t>
        </r>
      </text>
    </comment>
    <comment ref="D629" authorId="0" shapeId="0">
      <text>
        <r>
          <rPr>
            <b/>
            <sz val="9"/>
            <color indexed="81"/>
            <rFont val="Tahoma"/>
            <family val="2"/>
            <charset val="238"/>
          </rPr>
          <t>Jana Holíková:</t>
        </r>
        <r>
          <rPr>
            <sz val="9"/>
            <color indexed="81"/>
            <rFont val="Tahoma"/>
            <family val="2"/>
            <charset val="238"/>
          </rPr>
          <t xml:space="preserve">
2103 ro28 +50.000</t>
        </r>
      </text>
    </comment>
    <comment ref="D632" authorId="2" shapeId="0">
      <text>
        <r>
          <rPr>
            <b/>
            <sz val="9"/>
            <color indexed="81"/>
            <rFont val="Tahoma"/>
            <family val="2"/>
            <charset val="238"/>
          </rPr>
          <t>Jana:</t>
        </r>
        <r>
          <rPr>
            <sz val="9"/>
            <color indexed="81"/>
            <rFont val="Tahoma"/>
            <family val="2"/>
            <charset val="238"/>
          </rPr>
          <t xml:space="preserve">
2107 +-5.000
210708 -5.000</t>
        </r>
      </text>
    </comment>
    <comment ref="D636" authorId="0" shapeId="0">
      <text>
        <r>
          <rPr>
            <b/>
            <sz val="9"/>
            <color indexed="81"/>
            <rFont val="Tahoma"/>
            <family val="2"/>
            <charset val="238"/>
          </rPr>
          <t>Jana Holíková:</t>
        </r>
        <r>
          <rPr>
            <sz val="9"/>
            <color indexed="81"/>
            <rFont val="Tahoma"/>
            <family val="2"/>
            <charset val="238"/>
          </rPr>
          <t xml:space="preserve">
2103 ro11 -100.000
</t>
        </r>
      </text>
    </comment>
    <comment ref="D648" authorId="0" shapeId="0">
      <text>
        <r>
          <rPr>
            <b/>
            <sz val="9"/>
            <color indexed="81"/>
            <rFont val="Tahoma"/>
            <family val="2"/>
            <charset val="238"/>
          </rPr>
          <t>Jana Holíková:</t>
        </r>
        <r>
          <rPr>
            <sz val="9"/>
            <color indexed="81"/>
            <rFont val="Tahoma"/>
            <family val="2"/>
            <charset val="238"/>
          </rPr>
          <t xml:space="preserve">
2112 ro51/5</t>
        </r>
      </text>
    </comment>
    <comment ref="D653" authorId="0" shapeId="0">
      <text>
        <r>
          <rPr>
            <b/>
            <sz val="9"/>
            <color indexed="81"/>
            <rFont val="Tahoma"/>
            <family val="2"/>
            <charset val="238"/>
          </rPr>
          <t>Jana Holíková:</t>
        </r>
        <r>
          <rPr>
            <sz val="9"/>
            <color indexed="81"/>
            <rFont val="Tahoma"/>
            <family val="2"/>
            <charset val="238"/>
          </rPr>
          <t xml:space="preserve">
2111 ro109 -47.000</t>
        </r>
      </text>
    </comment>
    <comment ref="D655" authorId="0" shapeId="0">
      <text>
        <r>
          <rPr>
            <b/>
            <sz val="9"/>
            <color indexed="81"/>
            <rFont val="Tahoma"/>
            <family val="2"/>
            <charset val="238"/>
          </rPr>
          <t>Jana Holíková:</t>
        </r>
        <r>
          <rPr>
            <sz val="9"/>
            <color indexed="81"/>
            <rFont val="Tahoma"/>
            <family val="2"/>
            <charset val="238"/>
          </rPr>
          <t xml:space="preserve">
2103 ro26 -12.000
2104 ro34 -15.000
2105 ro49 -10.000
2109 ro84 -45.000</t>
        </r>
      </text>
    </comment>
    <comment ref="D658" authorId="0" shapeId="0">
      <text>
        <r>
          <rPr>
            <b/>
            <sz val="9"/>
            <color indexed="81"/>
            <rFont val="Tahoma"/>
            <family val="2"/>
            <charset val="238"/>
          </rPr>
          <t>Jana Holíková:</t>
        </r>
        <r>
          <rPr>
            <sz val="9"/>
            <color indexed="81"/>
            <rFont val="Tahoma"/>
            <family val="2"/>
            <charset val="238"/>
          </rPr>
          <t xml:space="preserve">
2103 ro26 +12.000
2104 ro34 +15.000
2105 ro49 +10.000
2109 ro84 +45.000
2111 ro109 +47.000</t>
        </r>
      </text>
    </comment>
    <comment ref="D662" authorId="2" shapeId="0">
      <text>
        <r>
          <rPr>
            <b/>
            <sz val="9"/>
            <color indexed="81"/>
            <rFont val="Tahoma"/>
            <family val="2"/>
            <charset val="238"/>
          </rPr>
          <t>Jana:</t>
        </r>
        <r>
          <rPr>
            <sz val="9"/>
            <color indexed="81"/>
            <rFont val="Tahoma"/>
            <family val="2"/>
            <charset val="238"/>
          </rPr>
          <t xml:space="preserve">
2104 ro35 
+541.000  0390
+2.820.000 2390
2105 ro40 +635.148
2106 ro59
+1.500 úz13305
-1.500 bez úz
2107 ro70 +40.950
210903 -50.000
2110 ro93 +23.000
2110 ro102 +16.292
</t>
        </r>
      </text>
    </comment>
    <comment ref="D663" authorId="2" shapeId="0">
      <text>
        <r>
          <rPr>
            <b/>
            <sz val="9"/>
            <color indexed="81"/>
            <rFont val="Tahoma"/>
            <family val="2"/>
            <charset val="238"/>
          </rPr>
          <t>Jana:</t>
        </r>
        <r>
          <rPr>
            <sz val="9"/>
            <color indexed="81"/>
            <rFont val="Tahoma"/>
            <family val="2"/>
            <charset val="238"/>
          </rPr>
          <t xml:space="preserve">
2104 ro35
+190.000  1391
+550.000  2391
2105 ro40 +164.975
2112 ro124 +30.000
2112 ro51/4 +-2.157</t>
        </r>
      </text>
    </comment>
    <comment ref="D664" authorId="2" shapeId="0">
      <text>
        <r>
          <rPr>
            <b/>
            <sz val="9"/>
            <color indexed="81"/>
            <rFont val="Tahoma"/>
            <family val="2"/>
            <charset val="238"/>
          </rPr>
          <t>Jana:</t>
        </r>
        <r>
          <rPr>
            <sz val="9"/>
            <color indexed="81"/>
            <rFont val="Tahoma"/>
            <family val="2"/>
            <charset val="238"/>
          </rPr>
          <t xml:space="preserve">
2104 ro35 
+1.483.000  2393
2105 ro40 +595.143
2107 ro70 +46.839
210903 +50.000
2110 ro93 +36.000 +275.000</t>
        </r>
      </text>
    </comment>
    <comment ref="D668" authorId="0" shapeId="0">
      <text>
        <r>
          <rPr>
            <b/>
            <sz val="9"/>
            <color indexed="81"/>
            <rFont val="Tahoma"/>
            <family val="2"/>
            <charset val="238"/>
          </rPr>
          <t>Jana Holíková:</t>
        </r>
        <r>
          <rPr>
            <sz val="9"/>
            <color indexed="81"/>
            <rFont val="Tahoma"/>
            <family val="2"/>
            <charset val="238"/>
          </rPr>
          <t xml:space="preserve">
2112 ro137 +44.100 úz29014</t>
        </r>
      </text>
    </comment>
    <comment ref="D673" authorId="2" shapeId="0">
      <text>
        <r>
          <rPr>
            <b/>
            <sz val="9"/>
            <color indexed="81"/>
            <rFont val="Tahoma"/>
            <family val="2"/>
            <charset val="238"/>
          </rPr>
          <t>Jana:</t>
        </r>
        <r>
          <rPr>
            <sz val="9"/>
            <color indexed="81"/>
            <rFont val="Tahoma"/>
            <family val="2"/>
            <charset val="238"/>
          </rPr>
          <t xml:space="preserve">
2105 ro37 +84.350</t>
        </r>
      </text>
    </comment>
    <comment ref="D676" authorId="2" shapeId="0">
      <text>
        <r>
          <rPr>
            <b/>
            <sz val="9"/>
            <color indexed="81"/>
            <rFont val="Tahoma"/>
            <family val="2"/>
            <charset val="238"/>
          </rPr>
          <t>Jana:</t>
        </r>
        <r>
          <rPr>
            <sz val="9"/>
            <color indexed="81"/>
            <rFont val="Tahoma"/>
            <family val="2"/>
            <charset val="238"/>
          </rPr>
          <t xml:space="preserve">
2105 ro37 +120.100
2112 ro131 -600.000</t>
        </r>
      </text>
    </comment>
    <comment ref="D678" authorId="0" shapeId="0">
      <text>
        <r>
          <rPr>
            <b/>
            <sz val="9"/>
            <color indexed="81"/>
            <rFont val="Tahoma"/>
            <family val="2"/>
            <charset val="238"/>
          </rPr>
          <t>Jana Holíková:</t>
        </r>
        <r>
          <rPr>
            <sz val="9"/>
            <color indexed="81"/>
            <rFont val="Tahoma"/>
            <family val="2"/>
            <charset val="238"/>
          </rPr>
          <t xml:space="preserve">
2111 ro121 -360.000
2112 ro131 -110.000
2112 ro51/4 +110.000</t>
        </r>
      </text>
    </comment>
    <comment ref="D680" authorId="0" shapeId="0">
      <text>
        <r>
          <rPr>
            <b/>
            <sz val="9"/>
            <color indexed="81"/>
            <rFont val="Tahoma"/>
            <family val="2"/>
            <charset val="238"/>
          </rPr>
          <t>Jana Holíková:</t>
        </r>
        <r>
          <rPr>
            <sz val="9"/>
            <color indexed="81"/>
            <rFont val="Tahoma"/>
            <family val="2"/>
            <charset val="238"/>
          </rPr>
          <t xml:space="preserve">
2112 ro136 +59.955,50 úz15091</t>
        </r>
      </text>
    </comment>
    <comment ref="D684" authorId="2" shapeId="0">
      <text>
        <r>
          <rPr>
            <b/>
            <sz val="9"/>
            <color indexed="81"/>
            <rFont val="Tahoma"/>
            <family val="2"/>
            <charset val="238"/>
          </rPr>
          <t>Jana:</t>
        </r>
        <r>
          <rPr>
            <sz val="9"/>
            <color indexed="81"/>
            <rFont val="Tahoma"/>
            <family val="2"/>
            <charset val="238"/>
          </rPr>
          <t xml:space="preserve">
2104 ro30 +234.740
2105 ro37 +107.900</t>
        </r>
      </text>
    </comment>
    <comment ref="D686" authorId="2" shapeId="0">
      <text>
        <r>
          <rPr>
            <b/>
            <sz val="9"/>
            <color indexed="81"/>
            <rFont val="Tahoma"/>
            <family val="2"/>
            <charset val="238"/>
          </rPr>
          <t>Jana:</t>
        </r>
        <r>
          <rPr>
            <sz val="9"/>
            <color indexed="81"/>
            <rFont val="Tahoma"/>
            <family val="2"/>
            <charset val="238"/>
          </rPr>
          <t xml:space="preserve">
2104 ro30 -234.740
2107 ro67 -1.000.000
2111 ro121 -8.530.260
2112 ro131 +110.000
2112 ro51/4 -110.000</t>
        </r>
      </text>
    </comment>
    <comment ref="D689" authorId="2" shapeId="0">
      <text>
        <r>
          <rPr>
            <b/>
            <sz val="9"/>
            <color indexed="81"/>
            <rFont val="Tahoma"/>
            <family val="2"/>
            <charset val="238"/>
          </rPr>
          <t>Jana:</t>
        </r>
        <r>
          <rPr>
            <sz val="9"/>
            <color indexed="81"/>
            <rFont val="Tahoma"/>
            <family val="2"/>
            <charset val="238"/>
          </rPr>
          <t xml:space="preserve">
2106 ro52 +150.000</t>
        </r>
      </text>
    </comment>
    <comment ref="D690" authorId="2" shapeId="0">
      <text>
        <r>
          <rPr>
            <b/>
            <sz val="9"/>
            <color indexed="81"/>
            <rFont val="Tahoma"/>
            <family val="2"/>
            <charset val="238"/>
          </rPr>
          <t>Jana:</t>
        </r>
        <r>
          <rPr>
            <sz val="9"/>
            <color indexed="81"/>
            <rFont val="Tahoma"/>
            <family val="2"/>
            <charset val="238"/>
          </rPr>
          <t xml:space="preserve">
2106 ro52 +150.000</t>
        </r>
      </text>
    </comment>
    <comment ref="D697" authorId="0" shapeId="0">
      <text>
        <r>
          <rPr>
            <b/>
            <sz val="9"/>
            <color indexed="81"/>
            <rFont val="Tahoma"/>
            <family val="2"/>
            <charset val="238"/>
          </rPr>
          <t>Jana Holíková:</t>
        </r>
        <r>
          <rPr>
            <sz val="9"/>
            <color indexed="81"/>
            <rFont val="Tahoma"/>
            <family val="2"/>
            <charset val="238"/>
          </rPr>
          <t xml:space="preserve">
2103 ro17 -1.100.000</t>
        </r>
      </text>
    </comment>
    <comment ref="D699" authorId="0" shapeId="0">
      <text>
        <r>
          <rPr>
            <b/>
            <sz val="9"/>
            <color indexed="81"/>
            <rFont val="Tahoma"/>
            <family val="2"/>
            <charset val="238"/>
          </rPr>
          <t>Jana Holíková:</t>
        </r>
        <r>
          <rPr>
            <sz val="9"/>
            <color indexed="81"/>
            <rFont val="Tahoma"/>
            <family val="2"/>
            <charset val="238"/>
          </rPr>
          <t xml:space="preserve">
211101 +96.122,40 6122</t>
        </r>
      </text>
    </comment>
    <comment ref="D700" authorId="0" shapeId="0">
      <text>
        <r>
          <rPr>
            <b/>
            <sz val="9"/>
            <color indexed="81"/>
            <rFont val="Tahoma"/>
            <family val="2"/>
            <charset val="238"/>
          </rPr>
          <t>Jana Holíková:</t>
        </r>
        <r>
          <rPr>
            <sz val="9"/>
            <color indexed="81"/>
            <rFont val="Tahoma"/>
            <family val="2"/>
            <charset val="238"/>
          </rPr>
          <t xml:space="preserve">
211213 +197.230 6122</t>
        </r>
      </text>
    </comment>
    <comment ref="D702" authorId="2" shapeId="0">
      <text>
        <r>
          <rPr>
            <b/>
            <sz val="9"/>
            <color indexed="81"/>
            <rFont val="Tahoma"/>
            <family val="2"/>
            <charset val="238"/>
          </rPr>
          <t>Jana:</t>
        </r>
        <r>
          <rPr>
            <sz val="9"/>
            <color indexed="81"/>
            <rFont val="Tahoma"/>
            <family val="2"/>
            <charset val="238"/>
          </rPr>
          <t xml:space="preserve">
2100406 -6.600</t>
        </r>
      </text>
    </comment>
    <comment ref="D704" authorId="0" shapeId="0">
      <text>
        <r>
          <rPr>
            <b/>
            <sz val="9"/>
            <color indexed="81"/>
            <rFont val="Tahoma"/>
            <family val="2"/>
            <charset val="238"/>
          </rPr>
          <t>Jana Holíková:</t>
        </r>
        <r>
          <rPr>
            <sz val="9"/>
            <color indexed="81"/>
            <rFont val="Tahoma"/>
            <family val="2"/>
            <charset val="238"/>
          </rPr>
          <t xml:space="preserve">
2103 ro11 -100.000</t>
        </r>
      </text>
    </comment>
    <comment ref="D705" authorId="0" shapeId="0">
      <text>
        <r>
          <rPr>
            <b/>
            <sz val="9"/>
            <color indexed="81"/>
            <rFont val="Tahoma"/>
            <family val="2"/>
            <charset val="238"/>
          </rPr>
          <t>Jana Holíková:</t>
        </r>
        <r>
          <rPr>
            <sz val="9"/>
            <color indexed="81"/>
            <rFont val="Tahoma"/>
            <family val="2"/>
            <charset val="238"/>
          </rPr>
          <t xml:space="preserve">
2103 ro11 -400.000</t>
        </r>
      </text>
    </comment>
    <comment ref="D707" authorId="0" shapeId="0">
      <text>
        <r>
          <rPr>
            <b/>
            <sz val="9"/>
            <color indexed="81"/>
            <rFont val="Tahoma"/>
            <family val="2"/>
            <charset val="238"/>
          </rPr>
          <t>Jana Holíková:</t>
        </r>
        <r>
          <rPr>
            <sz val="9"/>
            <color indexed="81"/>
            <rFont val="Tahoma"/>
            <family val="2"/>
            <charset val="238"/>
          </rPr>
          <t xml:space="preserve">
2103 ro17 -1.142.000
210406 +6.600
211101 
-243.788,99 5222
211213
-200.174 5222
</t>
        </r>
      </text>
    </comment>
    <comment ref="D708" authorId="0" shapeId="0">
      <text>
        <r>
          <rPr>
            <b/>
            <sz val="9"/>
            <color indexed="81"/>
            <rFont val="Tahoma"/>
            <family val="2"/>
            <charset val="238"/>
          </rPr>
          <t>Jana Holíková:</t>
        </r>
        <r>
          <rPr>
            <sz val="9"/>
            <color indexed="81"/>
            <rFont val="Tahoma"/>
            <family val="2"/>
            <charset val="238"/>
          </rPr>
          <t xml:space="preserve">
211101 +147.666,59
211213 +2.944</t>
        </r>
      </text>
    </comment>
    <comment ref="D713" authorId="0" shapeId="0">
      <text>
        <r>
          <rPr>
            <b/>
            <sz val="9"/>
            <color indexed="81"/>
            <rFont val="Tahoma"/>
            <family val="2"/>
            <charset val="238"/>
          </rPr>
          <t>Jana Holíková:</t>
        </r>
        <r>
          <rPr>
            <sz val="9"/>
            <color indexed="81"/>
            <rFont val="Tahoma"/>
            <family val="2"/>
            <charset val="238"/>
          </rPr>
          <t xml:space="preserve">
2103 ro17 -600.000</t>
        </r>
      </text>
    </comment>
    <comment ref="D714" authorId="0" shapeId="0">
      <text>
        <r>
          <rPr>
            <b/>
            <sz val="9"/>
            <color indexed="81"/>
            <rFont val="Tahoma"/>
            <family val="2"/>
            <charset val="238"/>
          </rPr>
          <t>Jana Holíková:</t>
        </r>
        <r>
          <rPr>
            <sz val="9"/>
            <color indexed="81"/>
            <rFont val="Tahoma"/>
            <family val="2"/>
            <charset val="238"/>
          </rPr>
          <t xml:space="preserve">
210820 +62.543,69 6122</t>
        </r>
      </text>
    </comment>
    <comment ref="D716" authorId="0" shapeId="0">
      <text>
        <r>
          <rPr>
            <b/>
            <sz val="9"/>
            <color indexed="81"/>
            <rFont val="Tahoma"/>
            <family val="2"/>
            <charset val="238"/>
          </rPr>
          <t>Jana Holíková:</t>
        </r>
        <r>
          <rPr>
            <sz val="9"/>
            <color indexed="81"/>
            <rFont val="Tahoma"/>
            <family val="2"/>
            <charset val="238"/>
          </rPr>
          <t xml:space="preserve">
2103 ro17 -850.000
210820 
-65.241,69 5222
2109 ro51/2 -2.500.000
211101 -2.000
211213 -277.022,24
2112 ro51/4 -418.617,73</t>
        </r>
      </text>
    </comment>
    <comment ref="D717" authorId="0" shapeId="0">
      <text>
        <r>
          <rPr>
            <b/>
            <sz val="9"/>
            <color indexed="81"/>
            <rFont val="Tahoma"/>
            <family val="2"/>
            <charset val="238"/>
          </rPr>
          <t>Jana Holíková:</t>
        </r>
        <r>
          <rPr>
            <sz val="9"/>
            <color indexed="81"/>
            <rFont val="Tahoma"/>
            <family val="2"/>
            <charset val="238"/>
          </rPr>
          <t xml:space="preserve">
210820 +2.698
211101 +2.000
211213 +277.022,24</t>
        </r>
      </text>
    </comment>
    <comment ref="D718" authorId="0" shapeId="0">
      <text>
        <r>
          <rPr>
            <b/>
            <sz val="9"/>
            <color indexed="81"/>
            <rFont val="Tahoma"/>
            <charset val="1"/>
          </rPr>
          <t>Jana Holíková:</t>
        </r>
        <r>
          <rPr>
            <sz val="9"/>
            <color indexed="81"/>
            <rFont val="Tahoma"/>
            <charset val="1"/>
          </rPr>
          <t xml:space="preserve">
210907 +100.000</t>
        </r>
      </text>
    </comment>
    <comment ref="D721" authorId="0" shapeId="0">
      <text>
        <r>
          <rPr>
            <b/>
            <sz val="9"/>
            <color indexed="81"/>
            <rFont val="Tahoma"/>
            <family val="2"/>
            <charset val="238"/>
          </rPr>
          <t>Jana Holíková:</t>
        </r>
        <r>
          <rPr>
            <sz val="9"/>
            <color indexed="81"/>
            <rFont val="Tahoma"/>
            <family val="2"/>
            <charset val="238"/>
          </rPr>
          <t xml:space="preserve">
2103 ro17 -700.000
210907 -100.000</t>
        </r>
      </text>
    </comment>
    <comment ref="D722" authorId="0" shapeId="0">
      <text>
        <r>
          <rPr>
            <b/>
            <sz val="9"/>
            <color indexed="81"/>
            <rFont val="Tahoma"/>
            <family val="2"/>
            <charset val="238"/>
          </rPr>
          <t>Jana Holíková:</t>
        </r>
        <r>
          <rPr>
            <sz val="9"/>
            <color indexed="81"/>
            <rFont val="Tahoma"/>
            <family val="2"/>
            <charset val="238"/>
          </rPr>
          <t xml:space="preserve">
2103 ro11 -600.000</t>
        </r>
      </text>
    </comment>
    <comment ref="D725" authorId="0" shapeId="0">
      <text>
        <r>
          <rPr>
            <b/>
            <sz val="9"/>
            <color indexed="81"/>
            <rFont val="Tahoma"/>
            <family val="2"/>
            <charset val="238"/>
          </rPr>
          <t>Jana Holíková:</t>
        </r>
        <r>
          <rPr>
            <sz val="9"/>
            <color indexed="81"/>
            <rFont val="Tahoma"/>
            <family val="2"/>
            <charset val="238"/>
          </rPr>
          <t xml:space="preserve">
2108 ro81 -1.900.000</t>
        </r>
      </text>
    </comment>
    <comment ref="D726" authorId="0" shapeId="0">
      <text>
        <r>
          <rPr>
            <b/>
            <sz val="9"/>
            <color indexed="81"/>
            <rFont val="Tahoma"/>
            <family val="2"/>
            <charset val="238"/>
          </rPr>
          <t>Jana Holíková:</t>
        </r>
        <r>
          <rPr>
            <sz val="9"/>
            <color indexed="81"/>
            <rFont val="Tahoma"/>
            <family val="2"/>
            <charset val="238"/>
          </rPr>
          <t xml:space="preserve">
2108 ro81 -1.900.000</t>
        </r>
      </text>
    </comment>
    <comment ref="D727" authorId="2" shapeId="0">
      <text>
        <r>
          <rPr>
            <b/>
            <sz val="9"/>
            <color indexed="81"/>
            <rFont val="Tahoma"/>
            <family val="2"/>
            <charset val="238"/>
          </rPr>
          <t>Jana:</t>
        </r>
        <r>
          <rPr>
            <sz val="9"/>
            <color indexed="81"/>
            <rFont val="Tahoma"/>
            <family val="2"/>
            <charset val="238"/>
          </rPr>
          <t xml:space="preserve">
2103 ro11 +15.000.000
2103 ro17 -     501.540
2105 ro48 -1.200.000
2108 ro81 -12.400.000</t>
        </r>
      </text>
    </comment>
    <comment ref="D729" authorId="0" shapeId="0">
      <text>
        <r>
          <rPr>
            <b/>
            <sz val="9"/>
            <color indexed="81"/>
            <rFont val="Tahoma"/>
            <family val="2"/>
            <charset val="238"/>
          </rPr>
          <t>Jana Holíková:</t>
        </r>
        <r>
          <rPr>
            <sz val="9"/>
            <color indexed="81"/>
            <rFont val="Tahoma"/>
            <family val="2"/>
            <charset val="238"/>
          </rPr>
          <t xml:space="preserve">
2103 ro17 +850.000</t>
        </r>
      </text>
    </comment>
    <comment ref="D732" authorId="0" shapeId="0">
      <text>
        <r>
          <rPr>
            <b/>
            <sz val="9"/>
            <color indexed="81"/>
            <rFont val="Tahoma"/>
            <family val="2"/>
            <charset val="238"/>
          </rPr>
          <t>Jana Holíková:</t>
        </r>
        <r>
          <rPr>
            <sz val="9"/>
            <color indexed="81"/>
            <rFont val="Tahoma"/>
            <family val="2"/>
            <charset val="238"/>
          </rPr>
          <t xml:space="preserve">
2103 ro11 -1.000.000
2103 ro11 -2.500.000
2105 ro46 +3.500.000
2108 ro81 +2.400.000</t>
        </r>
      </text>
    </comment>
    <comment ref="D734" authorId="0" shapeId="0">
      <text>
        <r>
          <rPr>
            <b/>
            <sz val="9"/>
            <color indexed="81"/>
            <rFont val="Tahoma"/>
            <family val="2"/>
            <charset val="238"/>
          </rPr>
          <t>Jana Holíková:</t>
        </r>
        <r>
          <rPr>
            <sz val="9"/>
            <color indexed="81"/>
            <rFont val="Tahoma"/>
            <family val="2"/>
            <charset val="238"/>
          </rPr>
          <t xml:space="preserve">
2108 ro81 +400.000</t>
        </r>
      </text>
    </comment>
    <comment ref="D739" authorId="0" shapeId="0">
      <text>
        <r>
          <rPr>
            <b/>
            <sz val="9"/>
            <color indexed="81"/>
            <rFont val="Tahoma"/>
            <family val="2"/>
            <charset val="238"/>
          </rPr>
          <t>Jana Holíková:</t>
        </r>
        <r>
          <rPr>
            <sz val="9"/>
            <color indexed="81"/>
            <rFont val="Tahoma"/>
            <family val="2"/>
            <charset val="238"/>
          </rPr>
          <t xml:space="preserve">
2103 -900.000</t>
        </r>
      </text>
    </comment>
    <comment ref="D750" authorId="0" shapeId="0">
      <text>
        <r>
          <rPr>
            <b/>
            <sz val="9"/>
            <color indexed="81"/>
            <rFont val="Tahoma"/>
            <family val="2"/>
            <charset val="238"/>
          </rPr>
          <t>Jana Holíková:</t>
        </r>
        <r>
          <rPr>
            <sz val="9"/>
            <color indexed="81"/>
            <rFont val="Tahoma"/>
            <family val="2"/>
            <charset val="238"/>
          </rPr>
          <t xml:space="preserve">
2103 ro17 -500.000</t>
        </r>
      </text>
    </comment>
    <comment ref="D753" authorId="0" shapeId="0">
      <text>
        <r>
          <rPr>
            <b/>
            <sz val="9"/>
            <color indexed="81"/>
            <rFont val="Tahoma"/>
            <family val="2"/>
            <charset val="238"/>
          </rPr>
          <t>Jana Holíková:</t>
        </r>
        <r>
          <rPr>
            <sz val="9"/>
            <color indexed="81"/>
            <rFont val="Tahoma"/>
            <family val="2"/>
            <charset val="238"/>
          </rPr>
          <t xml:space="preserve">
2108 ro51/1 +2.000
211221 -20.000
GV +320.000</t>
        </r>
      </text>
    </comment>
    <comment ref="E753" authorId="3" shapeId="0">
      <text>
        <r>
          <rPr>
            <b/>
            <sz val="9"/>
            <color indexed="81"/>
            <rFont val="Tahoma"/>
            <family val="2"/>
            <charset val="238"/>
          </rPr>
          <t>Gabriela Vlčková:</t>
        </r>
        <r>
          <rPr>
            <sz val="9"/>
            <color indexed="81"/>
            <rFont val="Tahoma"/>
            <family val="2"/>
            <charset val="238"/>
          </rPr>
          <t xml:space="preserve">
5141+5163+5166+5169+5362</t>
        </r>
      </text>
    </comment>
    <comment ref="D755" authorId="0" shapeId="0">
      <text>
        <r>
          <rPr>
            <b/>
            <sz val="9"/>
            <color indexed="81"/>
            <rFont val="Tahoma"/>
            <family val="2"/>
            <charset val="238"/>
          </rPr>
          <t>Jana Holíková:</t>
        </r>
        <r>
          <rPr>
            <sz val="9"/>
            <color indexed="81"/>
            <rFont val="Tahoma"/>
            <family val="2"/>
            <charset val="238"/>
          </rPr>
          <t xml:space="preserve">
211221 +20.000
GV -320.000</t>
        </r>
      </text>
    </comment>
    <comment ref="D756" authorId="0" shapeId="0">
      <text>
        <r>
          <rPr>
            <b/>
            <sz val="9"/>
            <color indexed="81"/>
            <rFont val="Tahoma"/>
            <family val="2"/>
            <charset val="238"/>
          </rPr>
          <t>Jana Holíková:</t>
        </r>
        <r>
          <rPr>
            <sz val="9"/>
            <color indexed="81"/>
            <rFont val="Tahoma"/>
            <family val="2"/>
            <charset val="238"/>
          </rPr>
          <t xml:space="preserve">
2111 ro121 -50.000</t>
        </r>
      </text>
    </comment>
    <comment ref="D763" authorId="0" shapeId="0">
      <text>
        <r>
          <rPr>
            <b/>
            <sz val="9"/>
            <color indexed="81"/>
            <rFont val="Tahoma"/>
            <family val="2"/>
            <charset val="238"/>
          </rPr>
          <t>Jana Holíková:</t>
        </r>
        <r>
          <rPr>
            <sz val="9"/>
            <color indexed="81"/>
            <rFont val="Tahoma"/>
            <family val="2"/>
            <charset val="238"/>
          </rPr>
          <t xml:space="preserve">
2103 ro14 -100.000
2111 ro121 -393.000
2112 ro131 +100.000</t>
        </r>
      </text>
    </comment>
    <comment ref="D764" authorId="0" shapeId="0">
      <text>
        <r>
          <rPr>
            <b/>
            <sz val="9"/>
            <color indexed="81"/>
            <rFont val="Tahoma"/>
            <family val="2"/>
            <charset val="238"/>
          </rPr>
          <t>Jana Holíková:</t>
        </r>
        <r>
          <rPr>
            <sz val="9"/>
            <color indexed="81"/>
            <rFont val="Tahoma"/>
            <family val="2"/>
            <charset val="238"/>
          </rPr>
          <t xml:space="preserve">
2103 ro11 -2.300.000</t>
        </r>
      </text>
    </comment>
    <comment ref="D766" authorId="2" shapeId="0">
      <text>
        <r>
          <rPr>
            <b/>
            <sz val="9"/>
            <color indexed="81"/>
            <rFont val="Tahoma"/>
            <family val="2"/>
            <charset val="238"/>
          </rPr>
          <t>Jana:</t>
        </r>
        <r>
          <rPr>
            <sz val="9"/>
            <color indexed="81"/>
            <rFont val="Tahoma"/>
            <family val="2"/>
            <charset val="238"/>
          </rPr>
          <t xml:space="preserve">
2105 ro48 
+6.000.000 +3.200.000
-2.000.000</t>
        </r>
      </text>
    </comment>
    <comment ref="D767" authorId="0" shapeId="0">
      <text>
        <r>
          <rPr>
            <b/>
            <sz val="9"/>
            <color indexed="81"/>
            <rFont val="Tahoma"/>
            <family val="2"/>
            <charset val="238"/>
          </rPr>
          <t>Jana Holíková:</t>
        </r>
        <r>
          <rPr>
            <sz val="9"/>
            <color indexed="81"/>
            <rFont val="Tahoma"/>
            <family val="2"/>
            <charset val="238"/>
          </rPr>
          <t xml:space="preserve">
2103 ro11 -600.000</t>
        </r>
      </text>
    </comment>
    <comment ref="D769" authorId="0" shapeId="0">
      <text>
        <r>
          <rPr>
            <b/>
            <sz val="9"/>
            <color indexed="81"/>
            <rFont val="Tahoma"/>
            <family val="2"/>
            <charset val="238"/>
          </rPr>
          <t>Jana Holíková:</t>
        </r>
        <r>
          <rPr>
            <sz val="9"/>
            <color indexed="81"/>
            <rFont val="Tahoma"/>
            <family val="2"/>
            <charset val="238"/>
          </rPr>
          <t xml:space="preserve">
211222 +20.000</t>
        </r>
      </text>
    </comment>
    <comment ref="D771" authorId="0" shapeId="0">
      <text>
        <r>
          <rPr>
            <b/>
            <sz val="9"/>
            <color indexed="81"/>
            <rFont val="Tahoma"/>
            <family val="2"/>
            <charset val="238"/>
          </rPr>
          <t>Jana Holíková:</t>
        </r>
        <r>
          <rPr>
            <sz val="9"/>
            <color indexed="81"/>
            <rFont val="Tahoma"/>
            <family val="2"/>
            <charset val="238"/>
          </rPr>
          <t xml:space="preserve">
211222 +50.000</t>
        </r>
      </text>
    </comment>
    <comment ref="D778" authorId="0" shapeId="0">
      <text>
        <r>
          <rPr>
            <b/>
            <sz val="9"/>
            <color indexed="81"/>
            <rFont val="Tahoma"/>
            <family val="2"/>
            <charset val="238"/>
          </rPr>
          <t>Jana Holíková:</t>
        </r>
        <r>
          <rPr>
            <sz val="9"/>
            <color indexed="81"/>
            <rFont val="Tahoma"/>
            <family val="2"/>
            <charset val="238"/>
          </rPr>
          <t xml:space="preserve">
211222 -70.000
2112 ro51/4 +15.000</t>
        </r>
      </text>
    </comment>
    <comment ref="D782" authorId="2" shapeId="0">
      <text>
        <r>
          <rPr>
            <b/>
            <sz val="9"/>
            <color indexed="81"/>
            <rFont val="Tahoma"/>
            <family val="2"/>
            <charset val="238"/>
          </rPr>
          <t>Jana:</t>
        </r>
        <r>
          <rPr>
            <sz val="9"/>
            <color indexed="81"/>
            <rFont val="Tahoma"/>
            <family val="2"/>
            <charset val="238"/>
          </rPr>
          <t xml:space="preserve">
2105 ro37 +10.700
2111 ro121 -70.000</t>
        </r>
      </text>
    </comment>
    <comment ref="D783" authorId="0" shapeId="0">
      <text>
        <r>
          <rPr>
            <b/>
            <sz val="9"/>
            <color indexed="81"/>
            <rFont val="Tahoma"/>
            <family val="2"/>
            <charset val="238"/>
          </rPr>
          <t>Jana Holíková:</t>
        </r>
        <r>
          <rPr>
            <sz val="9"/>
            <color indexed="81"/>
            <rFont val="Tahoma"/>
            <family val="2"/>
            <charset val="238"/>
          </rPr>
          <t xml:space="preserve">
2111 ro121 -50.000</t>
        </r>
      </text>
    </comment>
    <comment ref="D786" authorId="0" shapeId="0">
      <text>
        <r>
          <rPr>
            <b/>
            <sz val="9"/>
            <color indexed="81"/>
            <rFont val="Tahoma"/>
            <family val="2"/>
            <charset val="238"/>
          </rPr>
          <t>Jana Holíková:</t>
        </r>
        <r>
          <rPr>
            <sz val="9"/>
            <color indexed="81"/>
            <rFont val="Tahoma"/>
            <family val="2"/>
            <charset val="238"/>
          </rPr>
          <t xml:space="preserve">
2103 ro14 +48.594,03
2111 ro121 -386.000 -100.000</t>
        </r>
      </text>
    </comment>
    <comment ref="D789" authorId="0" shapeId="0">
      <text>
        <r>
          <rPr>
            <b/>
            <sz val="9"/>
            <color indexed="81"/>
            <rFont val="Tahoma"/>
            <family val="2"/>
            <charset val="238"/>
          </rPr>
          <t>Jana Holíková:</t>
        </r>
        <r>
          <rPr>
            <sz val="9"/>
            <color indexed="81"/>
            <rFont val="Tahoma"/>
            <family val="2"/>
            <charset val="238"/>
          </rPr>
          <t xml:space="preserve">
2108 ro81 +250.000
2110 ro102 +11.221
2111 ro110 +10.495</t>
        </r>
      </text>
    </comment>
    <comment ref="D792" authorId="0" shapeId="0">
      <text>
        <r>
          <rPr>
            <b/>
            <sz val="9"/>
            <color indexed="81"/>
            <rFont val="Tahoma"/>
            <family val="2"/>
            <charset val="238"/>
          </rPr>
          <t>Jana Holíková:</t>
        </r>
        <r>
          <rPr>
            <sz val="9"/>
            <color indexed="81"/>
            <rFont val="Tahoma"/>
            <family val="2"/>
            <charset val="238"/>
          </rPr>
          <t xml:space="preserve">
2103 ro17 -400.000</t>
        </r>
      </text>
    </comment>
    <comment ref="D796" authorId="0" shapeId="0">
      <text>
        <r>
          <rPr>
            <b/>
            <sz val="9"/>
            <color indexed="81"/>
            <rFont val="Tahoma"/>
            <family val="2"/>
            <charset val="238"/>
          </rPr>
          <t>Jana Holíková:</t>
        </r>
        <r>
          <rPr>
            <sz val="9"/>
            <color indexed="81"/>
            <rFont val="Tahoma"/>
            <family val="2"/>
            <charset val="238"/>
          </rPr>
          <t xml:space="preserve">
2108 ro81 +500.000</t>
        </r>
      </text>
    </comment>
    <comment ref="D798" authorId="0" shapeId="0">
      <text>
        <r>
          <rPr>
            <b/>
            <sz val="9"/>
            <color indexed="81"/>
            <rFont val="Tahoma"/>
            <family val="2"/>
            <charset val="238"/>
          </rPr>
          <t>Jana Holíková:</t>
        </r>
        <r>
          <rPr>
            <sz val="9"/>
            <color indexed="81"/>
            <rFont val="Tahoma"/>
            <family val="2"/>
            <charset val="238"/>
          </rPr>
          <t xml:space="preserve">
2103 ro17 -300.000</t>
        </r>
      </text>
    </comment>
    <comment ref="D804" authorId="2" shapeId="0">
      <text>
        <r>
          <rPr>
            <b/>
            <sz val="9"/>
            <color indexed="81"/>
            <rFont val="Tahoma"/>
            <family val="2"/>
            <charset val="238"/>
          </rPr>
          <t>Jana:</t>
        </r>
        <r>
          <rPr>
            <sz val="9"/>
            <color indexed="81"/>
            <rFont val="Tahoma"/>
            <family val="2"/>
            <charset val="238"/>
          </rPr>
          <t xml:space="preserve">
2105 ro46 +350.000
2108 ro81 +150.000</t>
        </r>
      </text>
    </comment>
    <comment ref="D819" authorId="0" shapeId="0">
      <text>
        <r>
          <rPr>
            <b/>
            <sz val="9"/>
            <color indexed="81"/>
            <rFont val="Tahoma"/>
            <family val="2"/>
            <charset val="238"/>
          </rPr>
          <t>Jana Holíková:</t>
        </r>
        <r>
          <rPr>
            <sz val="9"/>
            <color indexed="81"/>
            <rFont val="Tahoma"/>
            <family val="2"/>
            <charset val="238"/>
          </rPr>
          <t xml:space="preserve">
2103 ro17 -4.750.000
2105 ro45 +1.450.000
211109 +1.482.000,80</t>
        </r>
      </text>
    </comment>
    <comment ref="D820" authorId="0" shapeId="0">
      <text>
        <r>
          <rPr>
            <b/>
            <sz val="9"/>
            <color indexed="81"/>
            <rFont val="Tahoma"/>
            <family val="2"/>
            <charset val="238"/>
          </rPr>
          <t>Jana Holíková:</t>
        </r>
        <r>
          <rPr>
            <sz val="9"/>
            <color indexed="81"/>
            <rFont val="Tahoma"/>
            <family val="2"/>
            <charset val="238"/>
          </rPr>
          <t xml:space="preserve">
2103 ro17 -3.300.000</t>
        </r>
      </text>
    </comment>
    <comment ref="D821" authorId="0" shapeId="0">
      <text>
        <r>
          <rPr>
            <b/>
            <sz val="9"/>
            <color indexed="81"/>
            <rFont val="Tahoma"/>
            <family val="2"/>
            <charset val="238"/>
          </rPr>
          <t>Jana Holíková:</t>
        </r>
        <r>
          <rPr>
            <sz val="9"/>
            <color indexed="81"/>
            <rFont val="Tahoma"/>
            <family val="2"/>
            <charset val="238"/>
          </rPr>
          <t xml:space="preserve">
211109 -1.482.000,80</t>
        </r>
      </text>
    </comment>
    <comment ref="D822" authorId="0" shapeId="0">
      <text>
        <r>
          <rPr>
            <b/>
            <sz val="9"/>
            <color indexed="81"/>
            <rFont val="Tahoma"/>
            <family val="2"/>
            <charset val="238"/>
          </rPr>
          <t>Jana Holíková:</t>
        </r>
        <r>
          <rPr>
            <sz val="9"/>
            <color indexed="81"/>
            <rFont val="Tahoma"/>
            <family val="2"/>
            <charset val="238"/>
          </rPr>
          <t xml:space="preserve">
2112 ro123 -1.000.000</t>
        </r>
      </text>
    </comment>
    <comment ref="D823" authorId="0" shapeId="0">
      <text>
        <r>
          <rPr>
            <b/>
            <sz val="9"/>
            <color indexed="81"/>
            <rFont val="Tahoma"/>
            <family val="2"/>
            <charset val="238"/>
          </rPr>
          <t>Jana Holíková:</t>
        </r>
        <r>
          <rPr>
            <sz val="9"/>
            <color indexed="81"/>
            <rFont val="Tahoma"/>
            <family val="2"/>
            <charset val="238"/>
          </rPr>
          <t xml:space="preserve">
2103 ro17 -2.000.000</t>
        </r>
      </text>
    </comment>
    <comment ref="D824" authorId="2" shapeId="0">
      <text>
        <r>
          <rPr>
            <b/>
            <sz val="9"/>
            <color indexed="81"/>
            <rFont val="Tahoma"/>
            <family val="2"/>
            <charset val="238"/>
          </rPr>
          <t>Jana:</t>
        </r>
        <r>
          <rPr>
            <sz val="9"/>
            <color indexed="81"/>
            <rFont val="Tahoma"/>
            <family val="2"/>
            <charset val="238"/>
          </rPr>
          <t xml:space="preserve">
2105 ro46 -2.000.000</t>
        </r>
      </text>
    </comment>
    <comment ref="D825" authorId="2" shapeId="0">
      <text>
        <r>
          <rPr>
            <b/>
            <sz val="9"/>
            <color indexed="81"/>
            <rFont val="Tahoma"/>
            <family val="2"/>
            <charset val="238"/>
          </rPr>
          <t>Jana:</t>
        </r>
        <r>
          <rPr>
            <sz val="9"/>
            <color indexed="81"/>
            <rFont val="Tahoma"/>
            <family val="2"/>
            <charset val="238"/>
          </rPr>
          <t xml:space="preserve">
2105 ro46 -1.250.000</t>
        </r>
      </text>
    </comment>
    <comment ref="D826" authorId="2" shapeId="0">
      <text>
        <r>
          <rPr>
            <b/>
            <sz val="9"/>
            <color indexed="81"/>
            <rFont val="Tahoma"/>
            <family val="2"/>
            <charset val="238"/>
          </rPr>
          <t>Jana:</t>
        </r>
        <r>
          <rPr>
            <sz val="9"/>
            <color indexed="81"/>
            <rFont val="Tahoma"/>
            <family val="2"/>
            <charset val="238"/>
          </rPr>
          <t xml:space="preserve">
2105 ro46 -600.000</t>
        </r>
      </text>
    </comment>
    <comment ref="D834" authorId="2" shapeId="0">
      <text>
        <r>
          <rPr>
            <b/>
            <sz val="9"/>
            <color indexed="81"/>
            <rFont val="Tahoma"/>
            <family val="2"/>
            <charset val="238"/>
          </rPr>
          <t>Jana:</t>
        </r>
        <r>
          <rPr>
            <sz val="9"/>
            <color indexed="81"/>
            <rFont val="Tahoma"/>
            <family val="2"/>
            <charset val="238"/>
          </rPr>
          <t xml:space="preserve">
2105 ro45 -1.450.000
2112 ro123 +1.000.000</t>
        </r>
      </text>
    </comment>
    <comment ref="D845" authorId="0" shapeId="0">
      <text>
        <r>
          <rPr>
            <b/>
            <sz val="9"/>
            <color indexed="81"/>
            <rFont val="Tahoma"/>
            <family val="2"/>
            <charset val="238"/>
          </rPr>
          <t>Jana Holíková:</t>
        </r>
        <r>
          <rPr>
            <sz val="9"/>
            <color indexed="81"/>
            <rFont val="Tahoma"/>
            <family val="2"/>
            <charset val="238"/>
          </rPr>
          <t xml:space="preserve">
2108 ro81 -50.000</t>
        </r>
      </text>
    </comment>
    <comment ref="D852" authorId="0" shapeId="0">
      <text>
        <r>
          <rPr>
            <b/>
            <sz val="9"/>
            <color indexed="81"/>
            <rFont val="Tahoma"/>
            <family val="2"/>
            <charset val="238"/>
          </rPr>
          <t>Jana Holíková:</t>
        </r>
        <r>
          <rPr>
            <sz val="9"/>
            <color indexed="81"/>
            <rFont val="Tahoma"/>
            <family val="2"/>
            <charset val="238"/>
          </rPr>
          <t xml:space="preserve">
2102 ro5
+11.654,14
</t>
        </r>
      </text>
    </comment>
    <comment ref="D853" authorId="0" shapeId="0">
      <text>
        <r>
          <rPr>
            <b/>
            <sz val="9"/>
            <color indexed="81"/>
            <rFont val="Tahoma"/>
            <family val="2"/>
            <charset val="238"/>
          </rPr>
          <t>Jana Holíková:</t>
        </r>
        <r>
          <rPr>
            <sz val="9"/>
            <color indexed="81"/>
            <rFont val="Tahoma"/>
            <family val="2"/>
            <charset val="238"/>
          </rPr>
          <t xml:space="preserve">
2103 ro11 -131.390</t>
        </r>
      </text>
    </comment>
    <comment ref="D855" authorId="0" shapeId="0">
      <text>
        <r>
          <rPr>
            <b/>
            <sz val="9"/>
            <color indexed="81"/>
            <rFont val="Tahoma"/>
            <family val="2"/>
            <charset val="238"/>
          </rPr>
          <t>Jana Holíková:</t>
        </r>
        <r>
          <rPr>
            <sz val="9"/>
            <color indexed="81"/>
            <rFont val="Tahoma"/>
            <family val="2"/>
            <charset val="238"/>
          </rPr>
          <t xml:space="preserve">
2103 ro15 +133.612
2110 ro100 +89.896</t>
        </r>
      </text>
    </comment>
    <comment ref="D856" authorId="0" shapeId="0">
      <text>
        <r>
          <rPr>
            <b/>
            <sz val="9"/>
            <color indexed="81"/>
            <rFont val="Tahoma"/>
            <family val="2"/>
            <charset val="238"/>
          </rPr>
          <t>Jana Holíková:</t>
        </r>
        <r>
          <rPr>
            <sz val="9"/>
            <color indexed="81"/>
            <rFont val="Tahoma"/>
            <family val="2"/>
            <charset val="238"/>
          </rPr>
          <t xml:space="preserve">
2107 ro61 +140.000</t>
        </r>
      </text>
    </comment>
    <comment ref="D858" authorId="0" shapeId="0">
      <text>
        <r>
          <rPr>
            <b/>
            <sz val="9"/>
            <color indexed="81"/>
            <rFont val="Tahoma"/>
            <family val="2"/>
            <charset val="238"/>
          </rPr>
          <t>Jana Holíková:</t>
        </r>
        <r>
          <rPr>
            <sz val="9"/>
            <color indexed="81"/>
            <rFont val="Tahoma"/>
            <family val="2"/>
            <charset val="238"/>
          </rPr>
          <t xml:space="preserve">
2112 ro51/4 
+53.917 +50.000</t>
        </r>
      </text>
    </comment>
    <comment ref="D860" authorId="2" shapeId="0">
      <text>
        <r>
          <rPr>
            <b/>
            <sz val="9"/>
            <color indexed="81"/>
            <rFont val="Tahoma"/>
            <family val="2"/>
            <charset val="238"/>
          </rPr>
          <t>Jana:</t>
        </r>
        <r>
          <rPr>
            <sz val="9"/>
            <color indexed="81"/>
            <rFont val="Tahoma"/>
            <family val="2"/>
            <charset val="238"/>
          </rPr>
          <t xml:space="preserve">
2105 ro47 -1.962.450
2109 ro47/1 
+1.962.450-1.962.250</t>
        </r>
      </text>
    </comment>
    <comment ref="D861" authorId="0" shapeId="0">
      <text>
        <r>
          <rPr>
            <b/>
            <sz val="9"/>
            <color indexed="81"/>
            <rFont val="Tahoma"/>
            <family val="2"/>
            <charset val="238"/>
          </rPr>
          <t>Jana Holíková:</t>
        </r>
        <r>
          <rPr>
            <sz val="9"/>
            <color indexed="81"/>
            <rFont val="Tahoma"/>
            <family val="2"/>
            <charset val="238"/>
          </rPr>
          <t xml:space="preserve">
2108 ro51/1 +7.000.000
2112 ro51/3 -1.607.623</t>
        </r>
      </text>
    </comment>
    <comment ref="D863" authorId="0" shapeId="0">
      <text>
        <r>
          <rPr>
            <b/>
            <sz val="9"/>
            <color indexed="81"/>
            <rFont val="Tahoma"/>
            <family val="2"/>
            <charset val="238"/>
          </rPr>
          <t>Jana Holíková:</t>
        </r>
        <r>
          <rPr>
            <sz val="9"/>
            <color indexed="81"/>
            <rFont val="Tahoma"/>
            <family val="2"/>
            <charset val="238"/>
          </rPr>
          <t xml:space="preserve">
2108 ro75 úz 13014
+12.131,44 1201
+68.744,81 1205
</t>
        </r>
      </text>
    </comment>
    <comment ref="D864" authorId="0" shapeId="0">
      <text>
        <r>
          <rPr>
            <b/>
            <sz val="9"/>
            <color indexed="81"/>
            <rFont val="Tahoma"/>
            <family val="2"/>
            <charset val="238"/>
          </rPr>
          <t>Jana Holíková:</t>
        </r>
        <r>
          <rPr>
            <sz val="9"/>
            <color indexed="81"/>
            <rFont val="Tahoma"/>
            <family val="2"/>
            <charset val="238"/>
          </rPr>
          <t xml:space="preserve">
2107 ro73 úz 13014
+22.324,68 1201
+1266.506,52 1205
</t>
        </r>
      </text>
    </comment>
    <comment ref="D865" authorId="0" shapeId="0">
      <text>
        <r>
          <rPr>
            <b/>
            <sz val="9"/>
            <color indexed="81"/>
            <rFont val="Tahoma"/>
            <family val="2"/>
            <charset val="238"/>
          </rPr>
          <t>Jana Holíková:</t>
        </r>
        <r>
          <rPr>
            <sz val="9"/>
            <color indexed="81"/>
            <rFont val="Tahoma"/>
            <family val="2"/>
            <charset val="238"/>
          </rPr>
          <t xml:space="preserve">
2107 ro76 úz 13014
+7.536,06 1201
+42.536,06 1205
</t>
        </r>
      </text>
    </comment>
    <comment ref="D866" authorId="2" shapeId="0">
      <text>
        <r>
          <rPr>
            <b/>
            <sz val="9"/>
            <color indexed="81"/>
            <rFont val="Tahoma"/>
            <family val="2"/>
            <charset val="238"/>
          </rPr>
          <t>Jana:</t>
        </r>
        <r>
          <rPr>
            <sz val="9"/>
            <color indexed="81"/>
            <rFont val="Tahoma"/>
            <family val="2"/>
            <charset val="238"/>
          </rPr>
          <t xml:space="preserve">
2110 ro96 33063 1031,5
+452,24 +2562,76
</t>
        </r>
      </text>
    </comment>
    <comment ref="D867" authorId="2" shapeId="0">
      <text>
        <r>
          <rPr>
            <b/>
            <sz val="9"/>
            <color indexed="81"/>
            <rFont val="Tahoma"/>
            <family val="2"/>
            <charset val="238"/>
          </rPr>
          <t>Jana:</t>
        </r>
        <r>
          <rPr>
            <sz val="9"/>
            <color indexed="81"/>
            <rFont val="Tahoma"/>
            <family val="2"/>
            <charset val="238"/>
          </rPr>
          <t xml:space="preserve">
2106 ro58 +16.912
</t>
        </r>
      </text>
    </comment>
    <comment ref="D868" authorId="2" shapeId="0">
      <text>
        <r>
          <rPr>
            <b/>
            <sz val="9"/>
            <color indexed="81"/>
            <rFont val="Tahoma"/>
            <family val="2"/>
            <charset val="238"/>
          </rPr>
          <t>Jana:</t>
        </r>
        <r>
          <rPr>
            <sz val="9"/>
            <color indexed="81"/>
            <rFont val="Tahoma"/>
            <family val="2"/>
            <charset val="238"/>
          </rPr>
          <t xml:space="preserve">
2111 ro113 33063 1031,5</t>
        </r>
      </text>
    </comment>
    <comment ref="D869" authorId="0" shapeId="0">
      <text>
        <r>
          <rPr>
            <b/>
            <sz val="9"/>
            <color indexed="81"/>
            <rFont val="Tahoma"/>
            <family val="2"/>
            <charset val="238"/>
          </rPr>
          <t>Jana Holíková:</t>
        </r>
        <r>
          <rPr>
            <sz val="9"/>
            <color indexed="81"/>
            <rFont val="Tahoma"/>
            <family val="2"/>
            <charset val="238"/>
          </rPr>
          <t xml:space="preserve">
2102 ro8 +5.719</t>
        </r>
      </text>
    </comment>
    <comment ref="D870" authorId="0" shapeId="0">
      <text>
        <r>
          <rPr>
            <b/>
            <sz val="9"/>
            <color indexed="81"/>
            <rFont val="Tahoma"/>
            <family val="2"/>
            <charset val="238"/>
          </rPr>
          <t>Jana Holíková:</t>
        </r>
        <r>
          <rPr>
            <sz val="9"/>
            <color indexed="81"/>
            <rFont val="Tahoma"/>
            <family val="2"/>
            <charset val="238"/>
          </rPr>
          <t xml:space="preserve">
2103 ro16 +14.168,64</t>
        </r>
      </text>
    </comment>
    <comment ref="D872" authorId="0" shapeId="0">
      <text>
        <r>
          <rPr>
            <b/>
            <sz val="9"/>
            <color indexed="81"/>
            <rFont val="Tahoma"/>
            <family val="2"/>
            <charset val="238"/>
          </rPr>
          <t>Jana Holíková:</t>
        </r>
        <r>
          <rPr>
            <sz val="9"/>
            <color indexed="81"/>
            <rFont val="Tahoma"/>
            <family val="2"/>
            <charset val="238"/>
          </rPr>
          <t xml:space="preserve">
2102 ro5 +1.037.625,27
2102 ro6 +         800
2102 ro8 -       5.719
2102 ro9 +2.888.353,24
2102 ro10 -  133.544,53
2103 ro11 +240.528,48
2103 ro12 -263.145,58
2103 RO14 +51.405,97
2103 ro15 -133.612
2103 ro16 -74.168,64
2103 ro17 +2.168.620
2103 ro19 -500.000 
2103 ro21 -79.385
2103 ro22 -267.145
2103 ro23 -213.939
2103 ro25 -2.000.000
2103 ro27 -100.000-100.000
2103 ro28 -50.000-50.000
2104 ro29 +1.380
2104 ro32 +84.689,93
2104 ro33 +1.267
2104 ro28 opr +150.000
2105 ro37 -500.000
2105 ro38 
+2.000.000 +1.000.000 +300.000
2105 ro41 +8.000.000
2105 ro42 +1.026.933,11
2106 ro54 +167.860
2106 ro51 +1.785.909,91
_____________________
1.pol.      +17.434.714,16
2107 ro61 -140.000
2107 ro62 +186.960
2107 ro63 +320.000
2107 ro64 +65.339,83
2107 ro65 +4.013.693,68
2107 ro74 +244.970,18
2108 ro78 -1.999.529,39
2108 ro81 
-2.810.000 +1.679.963 +1.500.000 +12.500.000 +50.000 +80.000
2108 ro 51/1 
-7.122.194 +1.325.016,84 +1.325.016,84
2109 RO82 -100.000
2109 ro85 -87.530
2109 ro87 +499.000
2109 ro89 +397.841,81
2109 ro90 +89.658,30
2109 ro51/2 +25.286.350
2110 ro94 +1.496.251,56
2110 ro97 +1.681 
2110 ro98 +1.129.135,83
2110 ro99 +411.753,45
2110 ro100 -89.896
2110 -15.000.000
2110 ro106 +766.001,80
2110 ro107 +219.366,52
2111 ro108 -3.905.942,92
2111 ro110 +63.744
2111 ro114 -272.169,76
2111 ro115 +208.529
2111 ro116 +2.136.350,91
2111 ro117 +644.666,09
2111 ro118 +4.672.567,33
2111 ro119 +50.959,71
2111 ro120 +9.406.511,28
2111 ro121
+150.000 +70.000 +100.000 +100.000 +11.240 +360.000 +8.530.260 +393.000 +386.000 +100.000 +669.130
2111 ro106úpr
-766.001,80 +695005,27
2112 ro122 -80.000
2112 ro124 -30.000
2112 ro 125 +222
2112 ro128 +3 +1.120.000
2112 ro129 +1.000.000
2112 ro130
+1.200.000 +422.772,30
2112 ro131 +600.000 +70.996,53
2112 ro132 +971,25
2112 ro133 +3.600
2112 úz51/3 
-200.000 -1.000.000 -37.709,65 +1.559.529,04 -5.500.000 +163.593,94 (úz13011) +407.279,26 -6.000.000 +26.459,90
2112 ro137 +31.689
2112 ro51/4 -8.814.047,70
2112 ro51/5 
+14.887,10 -3.600</t>
        </r>
      </text>
    </comment>
    <comment ref="D873" authorId="0" shapeId="0">
      <text>
        <r>
          <rPr>
            <b/>
            <sz val="9"/>
            <color indexed="81"/>
            <rFont val="Tahoma"/>
            <family val="2"/>
            <charset val="238"/>
          </rPr>
          <t>Jana Holíková:</t>
        </r>
        <r>
          <rPr>
            <sz val="9"/>
            <color indexed="81"/>
            <rFont val="Tahoma"/>
            <family val="2"/>
            <charset val="238"/>
          </rPr>
          <t xml:space="preserve">
2108 ro81 -80.000 §6409
2108 ro51/1 +2.194 §6409</t>
        </r>
      </text>
    </comment>
  </commentList>
</comments>
</file>

<file path=xl/comments4.xml><?xml version="1.0" encoding="utf-8"?>
<comments xmlns="http://schemas.openxmlformats.org/spreadsheetml/2006/main">
  <authors>
    <author>Ing. Jana Holíková</author>
    <author>Jana Holíková</author>
    <author>Jana</author>
  </authors>
  <commentList>
    <comment ref="J11" authorId="0" shapeId="0">
      <text>
        <r>
          <rPr>
            <b/>
            <sz val="9"/>
            <color indexed="81"/>
            <rFont val="Tahoma"/>
            <family val="2"/>
            <charset val="238"/>
          </rPr>
          <t>Ing. Jana Holíková:</t>
        </r>
        <r>
          <rPr>
            <sz val="9"/>
            <color indexed="81"/>
            <rFont val="Tahoma"/>
            <family val="2"/>
            <charset val="238"/>
          </rPr>
          <t xml:space="preserve">
040 ř.4430-4220 + SF ř.4281
nebo celk výdaje - tř6
nebo
min Závěrečný propočet dle výkazu</t>
        </r>
      </text>
    </comment>
    <comment ref="J12" authorId="0" shapeId="0">
      <text>
        <r>
          <rPr>
            <b/>
            <sz val="9"/>
            <color indexed="81"/>
            <rFont val="Tahoma"/>
            <family val="2"/>
            <charset val="238"/>
          </rPr>
          <t>Ing. Jana Holíková:</t>
        </r>
        <r>
          <rPr>
            <sz val="9"/>
            <color indexed="81"/>
            <rFont val="Tahoma"/>
            <family val="2"/>
            <charset val="238"/>
          </rPr>
          <t xml:space="preserve">
040 ř.4220
nebo
min Závěrečný propočet
dle výkazu</t>
        </r>
      </text>
    </comment>
    <comment ref="D54" authorId="1" shapeId="0">
      <text>
        <r>
          <rPr>
            <b/>
            <sz val="9"/>
            <color indexed="81"/>
            <rFont val="Tahoma"/>
            <family val="2"/>
            <charset val="238"/>
          </rPr>
          <t>Jana Holíková:</t>
        </r>
        <r>
          <rPr>
            <sz val="9"/>
            <color indexed="81"/>
            <rFont val="Tahoma"/>
            <family val="2"/>
            <charset val="238"/>
          </rPr>
          <t xml:space="preserve">
2103 ro17 -29.857.260</t>
        </r>
      </text>
    </comment>
    <comment ref="D55" authorId="1" shapeId="0">
      <text>
        <r>
          <rPr>
            <b/>
            <sz val="9"/>
            <color indexed="81"/>
            <rFont val="Tahoma"/>
            <family val="2"/>
            <charset val="238"/>
          </rPr>
          <t>Jana Holíková:</t>
        </r>
        <r>
          <rPr>
            <sz val="9"/>
            <color indexed="81"/>
            <rFont val="Tahoma"/>
            <family val="2"/>
            <charset val="238"/>
          </rPr>
          <t xml:space="preserve">
2103 ro17 -3.427.100</t>
        </r>
      </text>
    </comment>
    <comment ref="D56" authorId="1" shapeId="0">
      <text>
        <r>
          <rPr>
            <b/>
            <sz val="9"/>
            <color indexed="81"/>
            <rFont val="Tahoma"/>
            <family val="2"/>
            <charset val="238"/>
          </rPr>
          <t>Jana Holíková:</t>
        </r>
        <r>
          <rPr>
            <sz val="9"/>
            <color indexed="81"/>
            <rFont val="Tahoma"/>
            <family val="2"/>
            <charset val="238"/>
          </rPr>
          <t xml:space="preserve">
2103 ro17 +406.600</t>
        </r>
      </text>
    </comment>
    <comment ref="D57" authorId="1" shapeId="0">
      <text>
        <r>
          <rPr>
            <b/>
            <sz val="9"/>
            <color indexed="81"/>
            <rFont val="Tahoma"/>
            <family val="2"/>
            <charset val="238"/>
          </rPr>
          <t>Jana Holíková:</t>
        </r>
        <r>
          <rPr>
            <sz val="9"/>
            <color indexed="81"/>
            <rFont val="Tahoma"/>
            <family val="2"/>
            <charset val="238"/>
          </rPr>
          <t xml:space="preserve">
2103 ro17 -18.680</t>
        </r>
      </text>
    </comment>
    <comment ref="D58" authorId="1" shapeId="0">
      <text>
        <r>
          <rPr>
            <b/>
            <sz val="9"/>
            <color indexed="81"/>
            <rFont val="Tahoma"/>
            <family val="2"/>
            <charset val="238"/>
          </rPr>
          <t>Jana Holíková:</t>
        </r>
        <r>
          <rPr>
            <sz val="9"/>
            <color indexed="81"/>
            <rFont val="Tahoma"/>
            <family val="2"/>
            <charset val="238"/>
          </rPr>
          <t xml:space="preserve">
2103 ro17 +4.322.760
2110 ro101 +15.000.000</t>
        </r>
      </text>
    </comment>
    <comment ref="D59" authorId="2" shapeId="0">
      <text>
        <r>
          <rPr>
            <b/>
            <sz val="9"/>
            <color indexed="81"/>
            <rFont val="Tahoma"/>
            <family val="2"/>
            <charset val="238"/>
          </rPr>
          <t>Jana:</t>
        </r>
        <r>
          <rPr>
            <sz val="9"/>
            <color indexed="81"/>
            <rFont val="Tahoma"/>
            <family val="2"/>
            <charset val="238"/>
          </rPr>
          <t xml:space="preserve">
2105 ro47 -1.962.450
2109 ro47/1 
+1.962.450 -1.962.250</t>
        </r>
      </text>
    </comment>
    <comment ref="D60" authorId="1" shapeId="0">
      <text>
        <r>
          <rPr>
            <b/>
            <sz val="9"/>
            <color indexed="81"/>
            <rFont val="Tahoma"/>
            <family val="2"/>
            <charset val="238"/>
          </rPr>
          <t>Jana Holíková:</t>
        </r>
        <r>
          <rPr>
            <sz val="9"/>
            <color indexed="81"/>
            <rFont val="Tahoma"/>
            <family val="2"/>
            <charset val="238"/>
          </rPr>
          <t xml:space="preserve">
2103 ro17 +22.643.960</t>
        </r>
      </text>
    </comment>
    <comment ref="D61" authorId="1" shapeId="0">
      <text>
        <r>
          <rPr>
            <b/>
            <sz val="9"/>
            <color indexed="81"/>
            <rFont val="Tahoma"/>
            <family val="2"/>
            <charset val="238"/>
          </rPr>
          <t>Jana Holíková:</t>
        </r>
        <r>
          <rPr>
            <sz val="9"/>
            <color indexed="81"/>
            <rFont val="Tahoma"/>
            <family val="2"/>
            <charset val="238"/>
          </rPr>
          <t xml:space="preserve">
2108 ro51/1 +28.054,20</t>
        </r>
      </text>
    </comment>
    <comment ref="D62" authorId="2" shapeId="0">
      <text>
        <r>
          <rPr>
            <b/>
            <sz val="9"/>
            <color indexed="81"/>
            <rFont val="Tahoma"/>
            <family val="2"/>
            <charset val="238"/>
          </rPr>
          <t>Jana:</t>
        </r>
        <r>
          <rPr>
            <sz val="9"/>
            <color indexed="81"/>
            <rFont val="Tahoma"/>
            <family val="2"/>
            <charset val="238"/>
          </rPr>
          <t xml:space="preserve">
2106 ro51 +15.000</t>
        </r>
      </text>
    </comment>
    <comment ref="D63" authorId="1" shapeId="0">
      <text>
        <r>
          <rPr>
            <b/>
            <sz val="9"/>
            <color indexed="81"/>
            <rFont val="Tahoma"/>
            <family val="2"/>
            <charset val="238"/>
          </rPr>
          <t>Jana Holíková:</t>
        </r>
        <r>
          <rPr>
            <sz val="9"/>
            <color indexed="81"/>
            <rFont val="Tahoma"/>
            <family val="2"/>
            <charset val="238"/>
          </rPr>
          <t xml:space="preserve">
2108 ro51/1 +2.800</t>
        </r>
      </text>
    </comment>
    <comment ref="D67" authorId="1" shapeId="0">
      <text>
        <r>
          <rPr>
            <b/>
            <sz val="9"/>
            <color indexed="81"/>
            <rFont val="Tahoma"/>
            <family val="2"/>
            <charset val="238"/>
          </rPr>
          <t>Jana Holíková:</t>
        </r>
        <r>
          <rPr>
            <sz val="9"/>
            <color indexed="81"/>
            <rFont val="Tahoma"/>
            <family val="2"/>
            <charset val="238"/>
          </rPr>
          <t xml:space="preserve">
2108 ro81 -90.000</t>
        </r>
      </text>
    </comment>
    <comment ref="D72" authorId="1" shapeId="0">
      <text>
        <r>
          <rPr>
            <b/>
            <sz val="9"/>
            <color indexed="81"/>
            <rFont val="Tahoma"/>
            <family val="2"/>
            <charset val="238"/>
          </rPr>
          <t>Jana Holíková:</t>
        </r>
        <r>
          <rPr>
            <sz val="9"/>
            <color indexed="81"/>
            <rFont val="Tahoma"/>
            <family val="2"/>
            <charset val="238"/>
          </rPr>
          <t xml:space="preserve">
2108 ro51/1 +27.041</t>
        </r>
      </text>
    </comment>
    <comment ref="D84" authorId="1" shapeId="0">
      <text>
        <r>
          <rPr>
            <b/>
            <sz val="9"/>
            <color indexed="81"/>
            <rFont val="Tahoma"/>
            <family val="2"/>
            <charset val="238"/>
          </rPr>
          <t>Jana Holíková:</t>
        </r>
        <r>
          <rPr>
            <sz val="9"/>
            <color indexed="81"/>
            <rFont val="Tahoma"/>
            <family val="2"/>
            <charset val="238"/>
          </rPr>
          <t xml:space="preserve">
2112 ro51/4 +141,77</t>
        </r>
      </text>
    </comment>
    <comment ref="D85" authorId="1" shapeId="0">
      <text>
        <r>
          <rPr>
            <b/>
            <sz val="9"/>
            <color indexed="81"/>
            <rFont val="Tahoma"/>
            <family val="2"/>
            <charset val="238"/>
          </rPr>
          <t>Jana Holíková:</t>
        </r>
        <r>
          <rPr>
            <sz val="9"/>
            <color indexed="81"/>
            <rFont val="Tahoma"/>
            <family val="2"/>
            <charset val="238"/>
          </rPr>
          <t xml:space="preserve">
2108 ro51/1 +20.125,05</t>
        </r>
      </text>
    </comment>
    <comment ref="D86" authorId="1" shapeId="0">
      <text>
        <r>
          <rPr>
            <b/>
            <sz val="9"/>
            <color indexed="81"/>
            <rFont val="Tahoma"/>
            <family val="2"/>
            <charset val="238"/>
          </rPr>
          <t>Jana Holíková:</t>
        </r>
        <r>
          <rPr>
            <sz val="9"/>
            <color indexed="81"/>
            <rFont val="Tahoma"/>
            <family val="2"/>
            <charset val="238"/>
          </rPr>
          <t xml:space="preserve">
2108 ro81 -2.400.000</t>
        </r>
      </text>
    </comment>
    <comment ref="D91" authorId="1" shapeId="0">
      <text>
        <r>
          <rPr>
            <b/>
            <sz val="9"/>
            <color indexed="81"/>
            <rFont val="Tahoma"/>
            <family val="2"/>
            <charset val="238"/>
          </rPr>
          <t>Jana Holíková:</t>
        </r>
        <r>
          <rPr>
            <sz val="9"/>
            <color indexed="81"/>
            <rFont val="Tahoma"/>
            <family val="2"/>
            <charset val="238"/>
          </rPr>
          <t xml:space="preserve">
2112 ro51/4 +1.140</t>
        </r>
      </text>
    </comment>
    <comment ref="D93" authorId="1" shapeId="0">
      <text>
        <r>
          <rPr>
            <b/>
            <sz val="9"/>
            <color indexed="81"/>
            <rFont val="Tahoma"/>
            <family val="2"/>
            <charset val="238"/>
          </rPr>
          <t>Jana Holíková:</t>
        </r>
        <r>
          <rPr>
            <sz val="9"/>
            <color indexed="81"/>
            <rFont val="Tahoma"/>
            <family val="2"/>
            <charset val="238"/>
          </rPr>
          <t xml:space="preserve">
2108 ro81 -320.000</t>
        </r>
      </text>
    </comment>
    <comment ref="D94" authorId="1" shapeId="0">
      <text>
        <r>
          <rPr>
            <b/>
            <sz val="9"/>
            <color indexed="81"/>
            <rFont val="Tahoma"/>
            <family val="2"/>
            <charset val="238"/>
          </rPr>
          <t>Jana Holíková:</t>
        </r>
        <r>
          <rPr>
            <sz val="9"/>
            <color indexed="81"/>
            <rFont val="Tahoma"/>
            <family val="2"/>
            <charset val="238"/>
          </rPr>
          <t xml:space="preserve">
2103 ro11 -1.000.000</t>
        </r>
      </text>
    </comment>
    <comment ref="D95" authorId="1" shapeId="0">
      <text>
        <r>
          <rPr>
            <b/>
            <sz val="9"/>
            <color indexed="81"/>
            <rFont val="Tahoma"/>
            <family val="2"/>
            <charset val="238"/>
          </rPr>
          <t>Jana Holíková:</t>
        </r>
        <r>
          <rPr>
            <sz val="9"/>
            <color indexed="81"/>
            <rFont val="Tahoma"/>
            <family val="2"/>
            <charset val="238"/>
          </rPr>
          <t xml:space="preserve">
2103 ro11 -300.000</t>
        </r>
      </text>
    </comment>
    <comment ref="D101" authorId="1" shapeId="0">
      <text>
        <r>
          <rPr>
            <b/>
            <sz val="9"/>
            <color indexed="81"/>
            <rFont val="Tahoma"/>
            <family val="2"/>
            <charset val="238"/>
          </rPr>
          <t>Jana Holíková:</t>
        </r>
        <r>
          <rPr>
            <sz val="9"/>
            <color indexed="81"/>
            <rFont val="Tahoma"/>
            <family val="2"/>
            <charset val="238"/>
          </rPr>
          <t xml:space="preserve">
2102 ro7 
+25.236 (0504)
+27.775 (0309)
+35.940 (0307)
2104 ro29 +1.380
2106 ro50 +1.155.128,50
2112 ro51/4 
+35.680 (0305)
+59.184 (0307)
+13.752 (0309)
+ 6.298,21 (0321)
+  660 (0350)</t>
        </r>
      </text>
    </comment>
    <comment ref="D102" authorId="1" shapeId="0">
      <text>
        <r>
          <rPr>
            <b/>
            <sz val="9"/>
            <color indexed="81"/>
            <rFont val="Tahoma"/>
            <family val="2"/>
            <charset val="238"/>
          </rPr>
          <t>Jana Holíková:</t>
        </r>
        <r>
          <rPr>
            <sz val="9"/>
            <color indexed="81"/>
            <rFont val="Tahoma"/>
            <family val="2"/>
            <charset val="238"/>
          </rPr>
          <t xml:space="preserve">
2111 ro117 +95.304,80</t>
        </r>
      </text>
    </comment>
    <comment ref="D106" authorId="1" shapeId="0">
      <text>
        <r>
          <rPr>
            <b/>
            <sz val="9"/>
            <color indexed="81"/>
            <rFont val="Tahoma"/>
            <family val="2"/>
            <charset val="238"/>
          </rPr>
          <t>Jana Holíková:</t>
        </r>
        <r>
          <rPr>
            <sz val="9"/>
            <color indexed="81"/>
            <rFont val="Tahoma"/>
            <family val="2"/>
            <charset val="238"/>
          </rPr>
          <t xml:space="preserve">
2112 ro51/4 +14.858,71</t>
        </r>
      </text>
    </comment>
    <comment ref="D107" authorId="1" shapeId="0">
      <text>
        <r>
          <rPr>
            <b/>
            <sz val="9"/>
            <color indexed="81"/>
            <rFont val="Tahoma"/>
            <family val="2"/>
            <charset val="238"/>
          </rPr>
          <t>Jana Holíková:</t>
        </r>
        <r>
          <rPr>
            <sz val="9"/>
            <color indexed="81"/>
            <rFont val="Tahoma"/>
            <family val="2"/>
            <charset val="238"/>
          </rPr>
          <t xml:space="preserve">
2108 ro51/1 
+144.503,85 2310440
+  88.113,51 231 0441</t>
        </r>
      </text>
    </comment>
    <comment ref="D108" authorId="1" shapeId="0">
      <text>
        <r>
          <rPr>
            <b/>
            <sz val="9"/>
            <color indexed="81"/>
            <rFont val="Tahoma"/>
            <family val="2"/>
            <charset val="238"/>
          </rPr>
          <t>Jana Holíková:</t>
        </r>
        <r>
          <rPr>
            <sz val="9"/>
            <color indexed="81"/>
            <rFont val="Tahoma"/>
            <family val="2"/>
            <charset val="238"/>
          </rPr>
          <t xml:space="preserve">
2103 ro11 -960
2108 ro51/1 +2.520</t>
        </r>
      </text>
    </comment>
    <comment ref="D109" authorId="1" shapeId="0">
      <text>
        <r>
          <rPr>
            <b/>
            <sz val="9"/>
            <color indexed="81"/>
            <rFont val="Tahoma"/>
            <family val="2"/>
            <charset val="238"/>
          </rPr>
          <t>Jana Holíková:</t>
        </r>
        <r>
          <rPr>
            <sz val="9"/>
            <color indexed="81"/>
            <rFont val="Tahoma"/>
            <family val="2"/>
            <charset val="238"/>
          </rPr>
          <t xml:space="preserve">
2103 ro11 -220.825</t>
        </r>
      </text>
    </comment>
    <comment ref="D112" authorId="1" shapeId="0">
      <text>
        <r>
          <rPr>
            <b/>
            <sz val="9"/>
            <color indexed="81"/>
            <rFont val="Tahoma"/>
            <family val="2"/>
            <charset val="238"/>
          </rPr>
          <t>Jana Holíková:</t>
        </r>
        <r>
          <rPr>
            <sz val="9"/>
            <color indexed="81"/>
            <rFont val="Tahoma"/>
            <family val="2"/>
            <charset val="238"/>
          </rPr>
          <t xml:space="preserve">
2103 ro11 -1.355.324 </t>
        </r>
      </text>
    </comment>
    <comment ref="D113" authorId="1" shapeId="0">
      <text>
        <r>
          <rPr>
            <b/>
            <sz val="9"/>
            <color indexed="81"/>
            <rFont val="Tahoma"/>
            <family val="2"/>
            <charset val="238"/>
          </rPr>
          <t>Jana Holíková:</t>
        </r>
        <r>
          <rPr>
            <sz val="9"/>
            <color indexed="81"/>
            <rFont val="Tahoma"/>
            <family val="2"/>
            <charset val="238"/>
          </rPr>
          <t xml:space="preserve">
2108 ro51/1 +538</t>
        </r>
      </text>
    </comment>
    <comment ref="D116" authorId="1" shapeId="0">
      <text>
        <r>
          <rPr>
            <b/>
            <sz val="9"/>
            <color indexed="81"/>
            <rFont val="Tahoma"/>
            <family val="2"/>
            <charset val="238"/>
          </rPr>
          <t>Jana Holíková:</t>
        </r>
        <r>
          <rPr>
            <sz val="9"/>
            <color indexed="81"/>
            <rFont val="Tahoma"/>
            <family val="2"/>
            <charset val="238"/>
          </rPr>
          <t xml:space="preserve">
2108 ro78 -0,08</t>
        </r>
      </text>
    </comment>
    <comment ref="D119" authorId="1" shapeId="0">
      <text>
        <r>
          <rPr>
            <b/>
            <sz val="9"/>
            <color indexed="81"/>
            <rFont val="Tahoma"/>
            <family val="2"/>
            <charset val="238"/>
          </rPr>
          <t>Jana Holíková:</t>
        </r>
        <r>
          <rPr>
            <sz val="9"/>
            <color indexed="81"/>
            <rFont val="Tahoma"/>
            <family val="2"/>
            <charset val="238"/>
          </rPr>
          <t xml:space="preserve">
2108 ro51/1 +4.300</t>
        </r>
      </text>
    </comment>
    <comment ref="D120" authorId="2" shapeId="0">
      <text>
        <r>
          <rPr>
            <b/>
            <sz val="9"/>
            <color indexed="81"/>
            <rFont val="Tahoma"/>
            <family val="2"/>
            <charset val="238"/>
          </rPr>
          <t>Jana:</t>
        </r>
        <r>
          <rPr>
            <sz val="9"/>
            <color indexed="81"/>
            <rFont val="Tahoma"/>
            <family val="2"/>
            <charset val="238"/>
          </rPr>
          <t xml:space="preserve">
2106 ro51 +10.000</t>
        </r>
      </text>
    </comment>
    <comment ref="D121" authorId="1" shapeId="0">
      <text>
        <r>
          <rPr>
            <b/>
            <sz val="9"/>
            <color indexed="81"/>
            <rFont val="Tahoma"/>
            <family val="2"/>
            <charset val="238"/>
          </rPr>
          <t>Jana Holíková:</t>
        </r>
        <r>
          <rPr>
            <sz val="9"/>
            <color indexed="81"/>
            <rFont val="Tahoma"/>
            <family val="2"/>
            <charset val="238"/>
          </rPr>
          <t xml:space="preserve">
2112 ro51/3 +269.297,10</t>
        </r>
      </text>
    </comment>
    <comment ref="D124" authorId="2" shapeId="0">
      <text>
        <r>
          <rPr>
            <b/>
            <sz val="9"/>
            <color indexed="81"/>
            <rFont val="Tahoma"/>
            <family val="2"/>
            <charset val="238"/>
          </rPr>
          <t>Jana:</t>
        </r>
        <r>
          <rPr>
            <sz val="9"/>
            <color indexed="81"/>
            <rFont val="Tahoma"/>
            <family val="2"/>
            <charset val="238"/>
          </rPr>
          <t xml:space="preserve">
2112 RO51/4 +6.750</t>
        </r>
      </text>
    </comment>
    <comment ref="D125" authorId="2" shapeId="0">
      <text>
        <r>
          <rPr>
            <b/>
            <sz val="9"/>
            <color indexed="81"/>
            <rFont val="Tahoma"/>
            <family val="2"/>
            <charset val="238"/>
          </rPr>
          <t>Jana:</t>
        </r>
        <r>
          <rPr>
            <sz val="9"/>
            <color indexed="81"/>
            <rFont val="Tahoma"/>
            <family val="2"/>
            <charset val="238"/>
          </rPr>
          <t xml:space="preserve">
2112 RO51/4 +42.348,85</t>
        </r>
      </text>
    </comment>
    <comment ref="D126" authorId="2" shapeId="0">
      <text>
        <r>
          <rPr>
            <b/>
            <sz val="9"/>
            <color indexed="81"/>
            <rFont val="Tahoma"/>
            <family val="2"/>
            <charset val="238"/>
          </rPr>
          <t>Jana:</t>
        </r>
        <r>
          <rPr>
            <sz val="9"/>
            <color indexed="81"/>
            <rFont val="Tahoma"/>
            <family val="2"/>
            <charset val="238"/>
          </rPr>
          <t xml:space="preserve">
2106 ro51 +143.744,55
2112 RO51/3 +2.310</t>
        </r>
      </text>
    </comment>
    <comment ref="D127" authorId="2" shapeId="0">
      <text>
        <r>
          <rPr>
            <b/>
            <sz val="9"/>
            <color indexed="81"/>
            <rFont val="Tahoma"/>
            <family val="2"/>
            <charset val="238"/>
          </rPr>
          <t>Jana:</t>
        </r>
        <r>
          <rPr>
            <sz val="9"/>
            <color indexed="81"/>
            <rFont val="Tahoma"/>
            <family val="2"/>
            <charset val="238"/>
          </rPr>
          <t xml:space="preserve">
2106 ro51 +16.940 615
2112 ro51/3 
+120.000 (120) +15.672,16 (139)</t>
        </r>
      </text>
    </comment>
    <comment ref="D128" authorId="1" shapeId="0">
      <text>
        <r>
          <rPr>
            <b/>
            <sz val="9"/>
            <color indexed="81"/>
            <rFont val="Tahoma"/>
            <family val="2"/>
            <charset val="238"/>
          </rPr>
          <t>Jana Holíková:</t>
        </r>
        <r>
          <rPr>
            <sz val="9"/>
            <color indexed="81"/>
            <rFont val="Tahoma"/>
            <family val="2"/>
            <charset val="238"/>
          </rPr>
          <t xml:space="preserve">
2112 ro51/4 +4.000</t>
        </r>
      </text>
    </comment>
    <comment ref="D129" authorId="1" shapeId="0">
      <text>
        <r>
          <rPr>
            <b/>
            <sz val="9"/>
            <color indexed="81"/>
            <rFont val="Tahoma"/>
            <family val="2"/>
            <charset val="238"/>
          </rPr>
          <t>Jana Holíková:</t>
        </r>
        <r>
          <rPr>
            <sz val="9"/>
            <color indexed="81"/>
            <rFont val="Tahoma"/>
            <family val="2"/>
            <charset val="238"/>
          </rPr>
          <t xml:space="preserve">
2112 ro51/4 +1.500</t>
        </r>
      </text>
    </comment>
    <comment ref="D131" authorId="1" shapeId="0">
      <text>
        <r>
          <rPr>
            <b/>
            <sz val="9"/>
            <color indexed="81"/>
            <rFont val="Tahoma"/>
            <family val="2"/>
            <charset val="238"/>
          </rPr>
          <t>Jana Holíková:</t>
        </r>
        <r>
          <rPr>
            <sz val="9"/>
            <color indexed="81"/>
            <rFont val="Tahoma"/>
            <family val="2"/>
            <charset val="238"/>
          </rPr>
          <t xml:space="preserve">
2109 ro51/2 +100.000</t>
        </r>
      </text>
    </comment>
    <comment ref="D134" authorId="2" shapeId="0">
      <text>
        <r>
          <rPr>
            <b/>
            <sz val="9"/>
            <color indexed="81"/>
            <rFont val="Tahoma"/>
            <family val="2"/>
            <charset val="238"/>
          </rPr>
          <t>Jana:</t>
        </r>
        <r>
          <rPr>
            <sz val="9"/>
            <color indexed="81"/>
            <rFont val="Tahoma"/>
            <family val="2"/>
            <charset val="238"/>
          </rPr>
          <t xml:space="preserve">
2104 ro32 +84.689,93
</t>
        </r>
      </text>
    </comment>
    <comment ref="D136" authorId="1" shapeId="0">
      <text>
        <r>
          <rPr>
            <b/>
            <sz val="9"/>
            <color indexed="81"/>
            <rFont val="Tahoma"/>
            <family val="2"/>
            <charset val="238"/>
          </rPr>
          <t>Jana Holíková:</t>
        </r>
        <r>
          <rPr>
            <sz val="9"/>
            <color indexed="81"/>
            <rFont val="Tahoma"/>
            <family val="2"/>
            <charset val="238"/>
          </rPr>
          <t xml:space="preserve">
2102 ro5
+ 65.834,23 (0305)
+140.191,92 (0307)</t>
        </r>
      </text>
    </comment>
    <comment ref="D137" authorId="2" shapeId="0">
      <text>
        <r>
          <rPr>
            <b/>
            <sz val="9"/>
            <color indexed="81"/>
            <rFont val="Tahoma"/>
            <family val="2"/>
            <charset val="238"/>
          </rPr>
          <t>Jana:</t>
        </r>
        <r>
          <rPr>
            <sz val="9"/>
            <color indexed="81"/>
            <rFont val="Tahoma"/>
            <family val="2"/>
            <charset val="238"/>
          </rPr>
          <t xml:space="preserve">
2106 ro51 +26.490</t>
        </r>
      </text>
    </comment>
    <comment ref="D138" authorId="1" shapeId="0">
      <text>
        <r>
          <rPr>
            <b/>
            <sz val="9"/>
            <color indexed="81"/>
            <rFont val="Tahoma"/>
            <family val="2"/>
            <charset val="238"/>
          </rPr>
          <t>Jana Holíková:</t>
        </r>
        <r>
          <rPr>
            <sz val="9"/>
            <color indexed="81"/>
            <rFont val="Tahoma"/>
            <family val="2"/>
            <charset val="238"/>
          </rPr>
          <t xml:space="preserve">
2102 ro5
+308.971,67 (0321)
+25.523,77 (0322)
+77.151,21 (0323)
+30.113,25 (0325)</t>
        </r>
      </text>
    </comment>
    <comment ref="D139" authorId="2" shapeId="0">
      <text>
        <r>
          <rPr>
            <b/>
            <sz val="9"/>
            <color indexed="81"/>
            <rFont val="Tahoma"/>
            <family val="2"/>
            <charset val="238"/>
          </rPr>
          <t>Jana:</t>
        </r>
        <r>
          <rPr>
            <sz val="9"/>
            <color indexed="81"/>
            <rFont val="Tahoma"/>
            <family val="2"/>
            <charset val="238"/>
          </rPr>
          <t xml:space="preserve">
2108 ro75 +80.876,25</t>
        </r>
      </text>
    </comment>
    <comment ref="D140" authorId="2" shapeId="0">
      <text>
        <r>
          <rPr>
            <b/>
            <sz val="9"/>
            <color indexed="81"/>
            <rFont val="Tahoma"/>
            <family val="2"/>
            <charset val="238"/>
          </rPr>
          <t>Jana:</t>
        </r>
        <r>
          <rPr>
            <sz val="9"/>
            <color indexed="81"/>
            <rFont val="Tahoma"/>
            <family val="2"/>
            <charset val="238"/>
          </rPr>
          <t xml:space="preserve">
2107 ro73 +148.831,20</t>
        </r>
      </text>
    </comment>
    <comment ref="D141" authorId="2" shapeId="0">
      <text>
        <r>
          <rPr>
            <b/>
            <sz val="9"/>
            <color indexed="81"/>
            <rFont val="Tahoma"/>
            <family val="2"/>
            <charset val="238"/>
          </rPr>
          <t>Jana:</t>
        </r>
        <r>
          <rPr>
            <sz val="9"/>
            <color indexed="81"/>
            <rFont val="Tahoma"/>
            <family val="2"/>
            <charset val="238"/>
          </rPr>
          <t xml:space="preserve">
2108 ro76 +50.240,4</t>
        </r>
      </text>
    </comment>
    <comment ref="D142" authorId="2" shapeId="0">
      <text>
        <r>
          <rPr>
            <b/>
            <sz val="9"/>
            <color indexed="81"/>
            <rFont val="Tahoma"/>
            <family val="2"/>
            <charset val="238"/>
          </rPr>
          <t>Jana:</t>
        </r>
        <r>
          <rPr>
            <sz val="9"/>
            <color indexed="81"/>
            <rFont val="Tahoma"/>
            <family val="2"/>
            <charset val="238"/>
          </rPr>
          <t xml:space="preserve">
2110 ro96 +3.015</t>
        </r>
      </text>
    </comment>
    <comment ref="D143" authorId="2" shapeId="0">
      <text>
        <r>
          <rPr>
            <b/>
            <sz val="9"/>
            <color indexed="81"/>
            <rFont val="Tahoma"/>
            <family val="2"/>
            <charset val="238"/>
          </rPr>
          <t>Jana:</t>
        </r>
        <r>
          <rPr>
            <sz val="9"/>
            <color indexed="81"/>
            <rFont val="Tahoma"/>
            <family val="2"/>
            <charset val="238"/>
          </rPr>
          <t xml:space="preserve">
2106 ro58 +16.912</t>
        </r>
      </text>
    </comment>
    <comment ref="D144" authorId="2" shapeId="0">
      <text>
        <r>
          <rPr>
            <b/>
            <sz val="9"/>
            <color indexed="81"/>
            <rFont val="Tahoma"/>
            <family val="2"/>
            <charset val="238"/>
          </rPr>
          <t>Jana:</t>
        </r>
        <r>
          <rPr>
            <sz val="9"/>
            <color indexed="81"/>
            <rFont val="Tahoma"/>
            <family val="2"/>
            <charset val="238"/>
          </rPr>
          <t xml:space="preserve">
2111 ro113 115.408
</t>
        </r>
      </text>
    </comment>
    <comment ref="D145" authorId="2" shapeId="0">
      <text>
        <r>
          <rPr>
            <b/>
            <sz val="9"/>
            <color indexed="81"/>
            <rFont val="Tahoma"/>
            <family val="2"/>
            <charset val="238"/>
          </rPr>
          <t>Jana:</t>
        </r>
        <r>
          <rPr>
            <sz val="9"/>
            <color indexed="81"/>
            <rFont val="Tahoma"/>
            <family val="2"/>
            <charset val="238"/>
          </rPr>
          <t xml:space="preserve">
2106 ro51 +122.549
</t>
        </r>
      </text>
    </comment>
    <comment ref="D146" authorId="1" shapeId="0">
      <text>
        <r>
          <rPr>
            <b/>
            <sz val="9"/>
            <color indexed="81"/>
            <rFont val="Tahoma"/>
            <family val="2"/>
            <charset val="238"/>
          </rPr>
          <t>Jana Holíková:</t>
        </r>
        <r>
          <rPr>
            <sz val="9"/>
            <color indexed="81"/>
            <rFont val="Tahoma"/>
            <family val="2"/>
            <charset val="238"/>
          </rPr>
          <t xml:space="preserve">
2102 ro5
+58.335,59</t>
        </r>
      </text>
    </comment>
    <comment ref="D147" authorId="1" shapeId="0">
      <text>
        <r>
          <rPr>
            <b/>
            <sz val="9"/>
            <color indexed="81"/>
            <rFont val="Tahoma"/>
            <family val="2"/>
            <charset val="238"/>
          </rPr>
          <t>Jana Holíková:</t>
        </r>
        <r>
          <rPr>
            <sz val="9"/>
            <color indexed="81"/>
            <rFont val="Tahoma"/>
            <family val="2"/>
            <charset val="238"/>
          </rPr>
          <t xml:space="preserve">
2102 ro5
+92.743,77
</t>
        </r>
      </text>
    </comment>
    <comment ref="D148" authorId="1" shapeId="0">
      <text>
        <r>
          <rPr>
            <b/>
            <sz val="9"/>
            <color indexed="81"/>
            <rFont val="Tahoma"/>
            <family val="2"/>
            <charset val="238"/>
          </rPr>
          <t>Jana Holíková:</t>
        </r>
        <r>
          <rPr>
            <sz val="9"/>
            <color indexed="81"/>
            <rFont val="Tahoma"/>
            <family val="2"/>
            <charset val="238"/>
          </rPr>
          <t xml:space="preserve">
2108 ro51/1 +96.359</t>
        </r>
      </text>
    </comment>
    <comment ref="D149" authorId="1" shapeId="0">
      <text>
        <r>
          <rPr>
            <b/>
            <sz val="9"/>
            <color indexed="81"/>
            <rFont val="Tahoma"/>
            <family val="2"/>
            <charset val="238"/>
          </rPr>
          <t>Jana Holíková:</t>
        </r>
        <r>
          <rPr>
            <sz val="9"/>
            <color indexed="81"/>
            <rFont val="Tahoma"/>
            <family val="2"/>
            <charset val="238"/>
          </rPr>
          <t xml:space="preserve">
2102 ro5
+250.414</t>
        </r>
      </text>
    </comment>
    <comment ref="D150" authorId="1" shapeId="0">
      <text>
        <r>
          <rPr>
            <b/>
            <sz val="9"/>
            <color indexed="81"/>
            <rFont val="Tahoma"/>
            <family val="2"/>
            <charset val="238"/>
          </rPr>
          <t>Jana Holíková:</t>
        </r>
        <r>
          <rPr>
            <sz val="9"/>
            <color indexed="81"/>
            <rFont val="Tahoma"/>
            <family val="2"/>
            <charset val="238"/>
          </rPr>
          <t xml:space="preserve">
2102 ro9 +2.888.353,24</t>
        </r>
      </text>
    </comment>
    <comment ref="D151" authorId="2" shapeId="0">
      <text>
        <r>
          <rPr>
            <b/>
            <sz val="9"/>
            <color indexed="81"/>
            <rFont val="Tahoma"/>
            <family val="2"/>
            <charset val="238"/>
          </rPr>
          <t>Jana:</t>
        </r>
        <r>
          <rPr>
            <sz val="9"/>
            <color indexed="81"/>
            <rFont val="Tahoma"/>
            <family val="2"/>
            <charset val="238"/>
          </rPr>
          <t xml:space="preserve">
2106 ro51
+503.779,56  1131
+214.977       1132
+  2.616,80        1134
+37.565        1141
+58.168        1180</t>
        </r>
      </text>
    </comment>
    <comment ref="D152" authorId="2" shapeId="0">
      <text>
        <r>
          <rPr>
            <b/>
            <sz val="9"/>
            <color indexed="81"/>
            <rFont val="Tahoma"/>
            <family val="2"/>
            <charset val="238"/>
          </rPr>
          <t>Jana:</t>
        </r>
        <r>
          <rPr>
            <sz val="9"/>
            <color indexed="81"/>
            <rFont val="Tahoma"/>
            <family val="2"/>
            <charset val="238"/>
          </rPr>
          <t xml:space="preserve">
2106 ro51 +6.060</t>
        </r>
      </text>
    </comment>
    <comment ref="D153" authorId="1" shapeId="0">
      <text>
        <r>
          <rPr>
            <b/>
            <sz val="9"/>
            <color indexed="81"/>
            <rFont val="Tahoma"/>
            <family val="2"/>
            <charset val="238"/>
          </rPr>
          <t>Jana Holíková:</t>
        </r>
        <r>
          <rPr>
            <sz val="9"/>
            <color indexed="81"/>
            <rFont val="Tahoma"/>
            <family val="2"/>
            <charset val="238"/>
          </rPr>
          <t xml:space="preserve">
2112 ro51/4 +1.908</t>
        </r>
      </text>
    </comment>
    <comment ref="D154" authorId="1" shapeId="0">
      <text>
        <r>
          <rPr>
            <b/>
            <sz val="9"/>
            <color indexed="81"/>
            <rFont val="Tahoma"/>
            <family val="2"/>
            <charset val="238"/>
          </rPr>
          <t>Jana Holíková:</t>
        </r>
        <r>
          <rPr>
            <sz val="9"/>
            <color indexed="81"/>
            <rFont val="Tahoma"/>
            <family val="2"/>
            <charset val="238"/>
          </rPr>
          <t xml:space="preserve">
2112 ro51/4 
+111 +3000</t>
        </r>
      </text>
    </comment>
    <comment ref="D155" authorId="1" shapeId="0">
      <text>
        <r>
          <rPr>
            <b/>
            <sz val="9"/>
            <color indexed="81"/>
            <rFont val="Tahoma"/>
            <family val="2"/>
            <charset val="238"/>
          </rPr>
          <t>Jana Holíková:</t>
        </r>
        <r>
          <rPr>
            <sz val="9"/>
            <color indexed="81"/>
            <rFont val="Tahoma"/>
            <family val="2"/>
            <charset val="238"/>
          </rPr>
          <t xml:space="preserve">
2112 ro51/4 +11.302</t>
        </r>
      </text>
    </comment>
    <comment ref="D156" authorId="1" shapeId="0">
      <text>
        <r>
          <rPr>
            <b/>
            <sz val="9"/>
            <color indexed="81"/>
            <rFont val="Tahoma"/>
            <family val="2"/>
            <charset val="238"/>
          </rPr>
          <t>Jana Holíková:</t>
        </r>
        <r>
          <rPr>
            <sz val="9"/>
            <color indexed="81"/>
            <rFont val="Tahoma"/>
            <family val="2"/>
            <charset val="238"/>
          </rPr>
          <t xml:space="preserve">
2112 ro51/4 +4.647</t>
        </r>
      </text>
    </comment>
    <comment ref="D157" authorId="1" shapeId="0">
      <text>
        <r>
          <rPr>
            <b/>
            <sz val="9"/>
            <color indexed="81"/>
            <rFont val="Tahoma"/>
            <family val="2"/>
            <charset val="238"/>
          </rPr>
          <t>Jana Holíková:</t>
        </r>
        <r>
          <rPr>
            <sz val="9"/>
            <color indexed="81"/>
            <rFont val="Tahoma"/>
            <family val="2"/>
            <charset val="238"/>
          </rPr>
          <t xml:space="preserve">
2112 ro51/4 +127.000</t>
        </r>
      </text>
    </comment>
    <comment ref="D158" authorId="1" shapeId="0">
      <text>
        <r>
          <rPr>
            <b/>
            <sz val="9"/>
            <color indexed="81"/>
            <rFont val="Tahoma"/>
            <family val="2"/>
            <charset val="238"/>
          </rPr>
          <t>Jana Holíková:</t>
        </r>
        <r>
          <rPr>
            <sz val="9"/>
            <color indexed="81"/>
            <rFont val="Tahoma"/>
            <family val="2"/>
            <charset val="238"/>
          </rPr>
          <t xml:space="preserve">
2112 ro51/4 +80.648</t>
        </r>
      </text>
    </comment>
    <comment ref="D159" authorId="1" shapeId="0">
      <text>
        <r>
          <rPr>
            <b/>
            <sz val="9"/>
            <color indexed="81"/>
            <rFont val="Tahoma"/>
            <family val="2"/>
            <charset val="238"/>
          </rPr>
          <t>Jana Holíková:</t>
        </r>
        <r>
          <rPr>
            <sz val="9"/>
            <color indexed="81"/>
            <rFont val="Tahoma"/>
            <family val="2"/>
            <charset val="238"/>
          </rPr>
          <t xml:space="preserve">
2112 ro51/4 +108.240,05</t>
        </r>
      </text>
    </comment>
    <comment ref="D160" authorId="1" shapeId="0">
      <text>
        <r>
          <rPr>
            <b/>
            <sz val="9"/>
            <color indexed="81"/>
            <rFont val="Tahoma"/>
            <family val="2"/>
            <charset val="238"/>
          </rPr>
          <t>Jana Holíková:</t>
        </r>
        <r>
          <rPr>
            <sz val="9"/>
            <color indexed="81"/>
            <rFont val="Tahoma"/>
            <family val="2"/>
            <charset val="238"/>
          </rPr>
          <t xml:space="preserve">
2112 ro51/4 +8.425</t>
        </r>
      </text>
    </comment>
    <comment ref="D161" authorId="1" shapeId="0">
      <text>
        <r>
          <rPr>
            <b/>
            <sz val="9"/>
            <color indexed="81"/>
            <rFont val="Tahoma"/>
            <family val="2"/>
            <charset val="238"/>
          </rPr>
          <t>Jana Holíková:</t>
        </r>
        <r>
          <rPr>
            <sz val="9"/>
            <color indexed="81"/>
            <rFont val="Tahoma"/>
            <family val="2"/>
            <charset val="238"/>
          </rPr>
          <t xml:space="preserve">
2103 ro11 +49.000
prodej zbraní
2106 ro51 +9.075</t>
        </r>
      </text>
    </comment>
    <comment ref="D162" authorId="1" shapeId="0">
      <text>
        <r>
          <rPr>
            <b/>
            <sz val="9"/>
            <color indexed="81"/>
            <rFont val="Tahoma"/>
            <family val="2"/>
            <charset val="238"/>
          </rPr>
          <t>Jana Holíková:</t>
        </r>
        <r>
          <rPr>
            <sz val="9"/>
            <color indexed="81"/>
            <rFont val="Tahoma"/>
            <family val="2"/>
            <charset val="238"/>
          </rPr>
          <t xml:space="preserve">
2103 ro27 -100.000
2103 ro28 -50.000
2104 ro28opr +150.000
2112 ro51/4 +35.000</t>
        </r>
      </text>
    </comment>
    <comment ref="D163" authorId="1" shapeId="0">
      <text>
        <r>
          <rPr>
            <b/>
            <sz val="9"/>
            <color indexed="81"/>
            <rFont val="Tahoma"/>
            <family val="2"/>
            <charset val="238"/>
          </rPr>
          <t>Jana Holíková:</t>
        </r>
        <r>
          <rPr>
            <sz val="9"/>
            <color indexed="81"/>
            <rFont val="Tahoma"/>
            <family val="2"/>
            <charset val="238"/>
          </rPr>
          <t xml:space="preserve">
2102 ro6 +8.732
2105 ro39 +15.883
2106 ro51 +35.845 +6.600+20.000
2110 ro102
+49.991 +-11.221
2111 ro110
+140.582 +10.495</t>
        </r>
      </text>
    </comment>
    <comment ref="D165" authorId="2" shapeId="0">
      <text>
        <r>
          <rPr>
            <b/>
            <sz val="9"/>
            <color indexed="81"/>
            <rFont val="Tahoma"/>
            <family val="2"/>
            <charset val="238"/>
          </rPr>
          <t>Jana:</t>
        </r>
        <r>
          <rPr>
            <sz val="9"/>
            <color indexed="81"/>
            <rFont val="Tahoma"/>
            <family val="2"/>
            <charset val="238"/>
          </rPr>
          <t xml:space="preserve">
2104 ro33 + 1.267</t>
        </r>
      </text>
    </comment>
    <comment ref="D166" authorId="1" shapeId="0">
      <text>
        <r>
          <rPr>
            <b/>
            <sz val="9"/>
            <color indexed="81"/>
            <rFont val="Tahoma"/>
            <family val="2"/>
            <charset val="238"/>
          </rPr>
          <t>Jana Holíková:</t>
        </r>
        <r>
          <rPr>
            <sz val="9"/>
            <color indexed="81"/>
            <rFont val="Tahoma"/>
            <family val="2"/>
            <charset val="238"/>
          </rPr>
          <t xml:space="preserve">
2108 ro51/1 +812,69</t>
        </r>
      </text>
    </comment>
    <comment ref="D169" authorId="2" shapeId="0">
      <text>
        <r>
          <rPr>
            <b/>
            <sz val="9"/>
            <color indexed="81"/>
            <rFont val="Tahoma"/>
            <family val="2"/>
            <charset val="238"/>
          </rPr>
          <t>Jana:</t>
        </r>
        <r>
          <rPr>
            <sz val="9"/>
            <color indexed="81"/>
            <rFont val="Tahoma"/>
            <family val="2"/>
            <charset val="238"/>
          </rPr>
          <t xml:space="preserve">
2112 ro51/4 +18.042,79</t>
        </r>
      </text>
    </comment>
    <comment ref="D170" authorId="2" shapeId="0">
      <text>
        <r>
          <rPr>
            <b/>
            <sz val="9"/>
            <color indexed="81"/>
            <rFont val="Tahoma"/>
            <family val="2"/>
            <charset val="238"/>
          </rPr>
          <t>Jana:</t>
        </r>
        <r>
          <rPr>
            <sz val="9"/>
            <color indexed="81"/>
            <rFont val="Tahoma"/>
            <family val="2"/>
            <charset val="238"/>
          </rPr>
          <t xml:space="preserve">
2106 ro51 +80.840
2108 ro51/1 +59.160
2109 ro51/2 +80.000</t>
        </r>
      </text>
    </comment>
    <comment ref="D172" authorId="1" shapeId="0">
      <text>
        <r>
          <rPr>
            <b/>
            <sz val="9"/>
            <color indexed="81"/>
            <rFont val="Tahoma"/>
            <family val="2"/>
            <charset val="238"/>
          </rPr>
          <t>Jana Holíková:</t>
        </r>
        <r>
          <rPr>
            <sz val="9"/>
            <color indexed="81"/>
            <rFont val="Tahoma"/>
            <family val="2"/>
            <charset val="238"/>
          </rPr>
          <t xml:space="preserve">
2112 ro51/4 +72.600</t>
        </r>
      </text>
    </comment>
    <comment ref="D175" authorId="1" shapeId="0">
      <text>
        <r>
          <rPr>
            <b/>
            <sz val="9"/>
            <color indexed="81"/>
            <rFont val="Tahoma"/>
            <family val="2"/>
            <charset val="238"/>
          </rPr>
          <t>Jana Holíková:</t>
        </r>
        <r>
          <rPr>
            <sz val="9"/>
            <color indexed="81"/>
            <rFont val="Tahoma"/>
            <family val="2"/>
            <charset val="238"/>
          </rPr>
          <t xml:space="preserve">
2112 ro51/4 +4.500</t>
        </r>
      </text>
    </comment>
    <comment ref="D176" authorId="1" shapeId="0">
      <text>
        <r>
          <rPr>
            <b/>
            <sz val="9"/>
            <color indexed="81"/>
            <rFont val="Tahoma"/>
            <family val="2"/>
            <charset val="238"/>
          </rPr>
          <t>Jana Holíková:</t>
        </r>
        <r>
          <rPr>
            <sz val="9"/>
            <color indexed="81"/>
            <rFont val="Tahoma"/>
            <family val="2"/>
            <charset val="238"/>
          </rPr>
          <t xml:space="preserve">
2112 ro51/4 +2.000</t>
        </r>
      </text>
    </comment>
    <comment ref="D177" authorId="1" shapeId="0">
      <text>
        <r>
          <rPr>
            <b/>
            <sz val="9"/>
            <color indexed="81"/>
            <rFont val="Tahoma"/>
            <family val="2"/>
            <charset val="238"/>
          </rPr>
          <t>Jana Holíková:</t>
        </r>
        <r>
          <rPr>
            <sz val="9"/>
            <color indexed="81"/>
            <rFont val="Tahoma"/>
            <family val="2"/>
            <charset val="238"/>
          </rPr>
          <t xml:space="preserve">
2107 ro70 +87.789</t>
        </r>
      </text>
    </comment>
    <comment ref="D184" authorId="1" shapeId="0">
      <text>
        <r>
          <rPr>
            <b/>
            <sz val="9"/>
            <color indexed="81"/>
            <rFont val="Tahoma"/>
            <family val="2"/>
            <charset val="238"/>
          </rPr>
          <t>Jana Holíková:</t>
        </r>
        <r>
          <rPr>
            <sz val="9"/>
            <color indexed="81"/>
            <rFont val="Tahoma"/>
            <family val="2"/>
            <charset val="238"/>
          </rPr>
          <t xml:space="preserve">
2112 ro51/4 +57.218</t>
        </r>
      </text>
    </comment>
    <comment ref="D185" authorId="1" shapeId="0">
      <text>
        <r>
          <rPr>
            <b/>
            <sz val="9"/>
            <color indexed="81"/>
            <rFont val="Tahoma"/>
            <family val="2"/>
            <charset val="238"/>
          </rPr>
          <t>Jana Holíková:</t>
        </r>
        <r>
          <rPr>
            <sz val="9"/>
            <color indexed="81"/>
            <rFont val="Tahoma"/>
            <family val="2"/>
            <charset val="238"/>
          </rPr>
          <t xml:space="preserve">
2108 ro51/1 +250.000</t>
        </r>
      </text>
    </comment>
    <comment ref="D190" authorId="1" shapeId="0">
      <text>
        <r>
          <rPr>
            <b/>
            <sz val="9"/>
            <color indexed="81"/>
            <rFont val="Tahoma"/>
            <family val="2"/>
            <charset val="238"/>
          </rPr>
          <t>Jana Holíková:</t>
        </r>
        <r>
          <rPr>
            <sz val="9"/>
            <color indexed="81"/>
            <rFont val="Tahoma"/>
            <family val="2"/>
            <charset val="238"/>
          </rPr>
          <t xml:space="preserve">
2112 ro51/4 +6.616
2112 ro51/5 -6.616</t>
        </r>
      </text>
    </comment>
    <comment ref="D191" authorId="1" shapeId="0">
      <text>
        <r>
          <rPr>
            <b/>
            <sz val="9"/>
            <color indexed="81"/>
            <rFont val="Tahoma"/>
            <family val="2"/>
            <charset val="238"/>
          </rPr>
          <t>Jana Holíková:</t>
        </r>
        <r>
          <rPr>
            <sz val="9"/>
            <color indexed="81"/>
            <rFont val="Tahoma"/>
            <family val="2"/>
            <charset val="238"/>
          </rPr>
          <t xml:space="preserve">
2112 ro51/4 +3.041</t>
        </r>
      </text>
    </comment>
    <comment ref="D192" authorId="1" shapeId="0">
      <text>
        <r>
          <rPr>
            <b/>
            <sz val="9"/>
            <color indexed="81"/>
            <rFont val="Tahoma"/>
            <family val="2"/>
            <charset val="238"/>
          </rPr>
          <t>Jana Holíková:</t>
        </r>
        <r>
          <rPr>
            <sz val="9"/>
            <color indexed="81"/>
            <rFont val="Tahoma"/>
            <family val="2"/>
            <charset val="238"/>
          </rPr>
          <t xml:space="preserve">
2112 ro51/5 +6.616</t>
        </r>
      </text>
    </comment>
    <comment ref="D193" authorId="1" shapeId="0">
      <text>
        <r>
          <rPr>
            <b/>
            <sz val="9"/>
            <color indexed="81"/>
            <rFont val="Tahoma"/>
            <family val="2"/>
            <charset val="238"/>
          </rPr>
          <t>Jana Holíková:</t>
        </r>
        <r>
          <rPr>
            <sz val="9"/>
            <color indexed="81"/>
            <rFont val="Tahoma"/>
            <family val="2"/>
            <charset val="238"/>
          </rPr>
          <t xml:space="preserve">
2108 ro 51/1 +1.641</t>
        </r>
      </text>
    </comment>
    <comment ref="D194" authorId="1" shapeId="0">
      <text>
        <r>
          <rPr>
            <b/>
            <sz val="9"/>
            <color indexed="81"/>
            <rFont val="Tahoma"/>
            <family val="2"/>
            <charset val="238"/>
          </rPr>
          <t>Jana Holíková:</t>
        </r>
        <r>
          <rPr>
            <sz val="9"/>
            <color indexed="81"/>
            <rFont val="Tahoma"/>
            <family val="2"/>
            <charset val="238"/>
          </rPr>
          <t xml:space="preserve">
2112 ro51/3 +26.459,90</t>
        </r>
      </text>
    </comment>
    <comment ref="D198" authorId="1" shapeId="0">
      <text>
        <r>
          <rPr>
            <b/>
            <sz val="9"/>
            <color indexed="81"/>
            <rFont val="Tahoma"/>
            <family val="2"/>
            <charset val="238"/>
          </rPr>
          <t>Jana Holíková:</t>
        </r>
        <r>
          <rPr>
            <sz val="9"/>
            <color indexed="81"/>
            <rFont val="Tahoma"/>
            <family val="2"/>
            <charset val="238"/>
          </rPr>
          <t xml:space="preserve">
2110 ro101 -30.000.000</t>
        </r>
      </text>
    </comment>
    <comment ref="D204" authorId="1" shapeId="0">
      <text>
        <r>
          <rPr>
            <b/>
            <sz val="9"/>
            <color indexed="81"/>
            <rFont val="Tahoma"/>
            <family val="2"/>
            <charset val="238"/>
          </rPr>
          <t>Jana Holíková:</t>
        </r>
        <r>
          <rPr>
            <sz val="9"/>
            <color indexed="81"/>
            <rFont val="Tahoma"/>
            <family val="2"/>
            <charset val="238"/>
          </rPr>
          <t xml:space="preserve">
2112 RO51/3 -3.000.000</t>
        </r>
      </text>
    </comment>
    <comment ref="E204" authorId="1" shapeId="0">
      <text>
        <r>
          <rPr>
            <b/>
            <sz val="9"/>
            <color indexed="81"/>
            <rFont val="Tahoma"/>
            <family val="2"/>
            <charset val="238"/>
          </rPr>
          <t>Jana Holíková:</t>
        </r>
        <r>
          <rPr>
            <sz val="9"/>
            <color indexed="81"/>
            <rFont val="Tahoma"/>
            <family val="2"/>
            <charset val="238"/>
          </rPr>
          <t xml:space="preserve">
</t>
        </r>
      </text>
    </comment>
    <comment ref="D205" authorId="1" shapeId="0">
      <text>
        <r>
          <rPr>
            <b/>
            <sz val="9"/>
            <color indexed="81"/>
            <rFont val="Tahoma"/>
            <family val="2"/>
            <charset val="238"/>
          </rPr>
          <t>Jana Holíková:</t>
        </r>
        <r>
          <rPr>
            <sz val="9"/>
            <color indexed="81"/>
            <rFont val="Tahoma"/>
            <family val="2"/>
            <charset val="238"/>
          </rPr>
          <t xml:space="preserve">
2112 RO51/3 -3.000.000</t>
        </r>
      </text>
    </comment>
    <comment ref="D207" authorId="1" shapeId="0">
      <text>
        <r>
          <rPr>
            <b/>
            <sz val="9"/>
            <color indexed="81"/>
            <rFont val="Tahoma"/>
            <family val="2"/>
            <charset val="238"/>
          </rPr>
          <t>Jana Holíková:</t>
        </r>
        <r>
          <rPr>
            <sz val="9"/>
            <color indexed="81"/>
            <rFont val="Tahoma"/>
            <family val="2"/>
            <charset val="238"/>
          </rPr>
          <t xml:space="preserve">
2109 ro51/2 +52.350
2112 ro51/4 +10.000</t>
        </r>
      </text>
    </comment>
    <comment ref="D208" authorId="1" shapeId="0">
      <text>
        <r>
          <rPr>
            <b/>
            <sz val="9"/>
            <color indexed="81"/>
            <rFont val="Tahoma"/>
            <family val="2"/>
            <charset val="238"/>
          </rPr>
          <t>Jana Holíková:</t>
        </r>
        <r>
          <rPr>
            <sz val="9"/>
            <color indexed="81"/>
            <rFont val="Tahoma"/>
            <family val="2"/>
            <charset val="238"/>
          </rPr>
          <t xml:space="preserve">
2112 ro51/4 +444.070</t>
        </r>
      </text>
    </comment>
    <comment ref="D209" authorId="1" shapeId="0">
      <text>
        <r>
          <rPr>
            <b/>
            <sz val="9"/>
            <color indexed="81"/>
            <rFont val="Tahoma"/>
            <family val="2"/>
            <charset val="238"/>
          </rPr>
          <t>Jana Holíková:</t>
        </r>
        <r>
          <rPr>
            <sz val="9"/>
            <color indexed="81"/>
            <rFont val="Tahoma"/>
            <family val="2"/>
            <charset val="238"/>
          </rPr>
          <t xml:space="preserve">
2112 ro51/4 -400.000</t>
        </r>
      </text>
    </comment>
    <comment ref="D211" authorId="1" shapeId="0">
      <text>
        <r>
          <rPr>
            <b/>
            <sz val="9"/>
            <color indexed="81"/>
            <rFont val="Tahoma"/>
            <family val="2"/>
            <charset val="238"/>
          </rPr>
          <t>Jana Holíková:</t>
        </r>
        <r>
          <rPr>
            <sz val="9"/>
            <color indexed="81"/>
            <rFont val="Tahoma"/>
            <family val="2"/>
            <charset val="238"/>
          </rPr>
          <t xml:space="preserve">
2102 ro10 -1.053.570</t>
        </r>
      </text>
    </comment>
    <comment ref="D212" authorId="1" shapeId="0">
      <text>
        <r>
          <rPr>
            <b/>
            <sz val="9"/>
            <color indexed="81"/>
            <rFont val="Tahoma"/>
            <family val="2"/>
            <charset val="238"/>
          </rPr>
          <t>Jana Holíková:</t>
        </r>
        <r>
          <rPr>
            <sz val="9"/>
            <color indexed="81"/>
            <rFont val="Tahoma"/>
            <family val="2"/>
            <charset val="238"/>
          </rPr>
          <t xml:space="preserve">
203 ro11 +1.000.000
2111 ro114 -1.000.000</t>
        </r>
      </text>
    </comment>
    <comment ref="D213" authorId="1" shapeId="0">
      <text>
        <r>
          <rPr>
            <b/>
            <sz val="9"/>
            <color indexed="81"/>
            <rFont val="Tahoma"/>
            <family val="2"/>
            <charset val="238"/>
          </rPr>
          <t>Jana Holíková:</t>
        </r>
        <r>
          <rPr>
            <sz val="9"/>
            <color indexed="81"/>
            <rFont val="Tahoma"/>
            <family val="2"/>
            <charset val="238"/>
          </rPr>
          <t xml:space="preserve">
2108 ro78 -14.649.529,31</t>
        </r>
      </text>
    </comment>
    <comment ref="D217" authorId="2" shapeId="0">
      <text>
        <r>
          <rPr>
            <b/>
            <sz val="9"/>
            <color indexed="81"/>
            <rFont val="Tahoma"/>
            <family val="2"/>
            <charset val="238"/>
          </rPr>
          <t>Jana:</t>
        </r>
        <r>
          <rPr>
            <sz val="9"/>
            <color indexed="81"/>
            <rFont val="Tahoma"/>
            <family val="2"/>
            <charset val="238"/>
          </rPr>
          <t xml:space="preserve">
2106 ro51 +3.000</t>
        </r>
      </text>
    </comment>
    <comment ref="D218" authorId="2" shapeId="0">
      <text>
        <r>
          <rPr>
            <b/>
            <sz val="9"/>
            <color indexed="81"/>
            <rFont val="Tahoma"/>
            <family val="2"/>
            <charset val="238"/>
          </rPr>
          <t>Jana:</t>
        </r>
        <r>
          <rPr>
            <sz val="9"/>
            <color indexed="81"/>
            <rFont val="Tahoma"/>
            <family val="2"/>
            <charset val="238"/>
          </rPr>
          <t xml:space="preserve">
2105 ro42 +1.026.933,11
2107 ro65 +4.013.693,68 
2110 ro107 +219.366,52
2112 ro132 +971,25</t>
        </r>
      </text>
    </comment>
    <comment ref="D219" authorId="2" shapeId="0">
      <text>
        <r>
          <rPr>
            <b/>
            <sz val="9"/>
            <color indexed="81"/>
            <rFont val="Tahoma"/>
            <family val="2"/>
            <charset val="238"/>
          </rPr>
          <t>Jana:</t>
        </r>
        <r>
          <rPr>
            <sz val="9"/>
            <color indexed="81"/>
            <rFont val="Tahoma"/>
            <family val="2"/>
            <charset val="238"/>
          </rPr>
          <t xml:space="preserve">
2109 ro87 +702.000 </t>
        </r>
      </text>
    </comment>
    <comment ref="D222" authorId="1" shapeId="0">
      <text>
        <r>
          <rPr>
            <b/>
            <sz val="9"/>
            <color indexed="81"/>
            <rFont val="Tahoma"/>
            <family val="2"/>
            <charset val="238"/>
          </rPr>
          <t>Jana Holíková:</t>
        </r>
        <r>
          <rPr>
            <sz val="9"/>
            <color indexed="81"/>
            <rFont val="Tahoma"/>
            <family val="2"/>
            <charset val="238"/>
          </rPr>
          <t xml:space="preserve">
2111 ro115 +48.565
1301</t>
        </r>
      </text>
    </comment>
    <comment ref="D223" authorId="1" shapeId="0">
      <text>
        <r>
          <rPr>
            <b/>
            <sz val="9"/>
            <color indexed="81"/>
            <rFont val="Tahoma"/>
            <family val="2"/>
            <charset val="238"/>
          </rPr>
          <t>Jana Holíková:</t>
        </r>
        <r>
          <rPr>
            <sz val="9"/>
            <color indexed="81"/>
            <rFont val="Tahoma"/>
            <family val="2"/>
            <charset val="238"/>
          </rPr>
          <t xml:space="preserve">
2111 ro115 +86.338
1305</t>
        </r>
      </text>
    </comment>
    <comment ref="D224" authorId="1" shapeId="0">
      <text>
        <r>
          <rPr>
            <b/>
            <sz val="9"/>
            <color indexed="81"/>
            <rFont val="Tahoma"/>
            <family val="2"/>
            <charset val="238"/>
          </rPr>
          <t>Jana Holíková:</t>
        </r>
        <r>
          <rPr>
            <sz val="9"/>
            <color indexed="81"/>
            <rFont val="Tahoma"/>
            <family val="2"/>
            <charset val="238"/>
          </rPr>
          <t xml:space="preserve">
2111 ro115 +86.338
1305</t>
        </r>
      </text>
    </comment>
    <comment ref="D226" authorId="1" shapeId="0">
      <text>
        <r>
          <rPr>
            <b/>
            <sz val="9"/>
            <color indexed="81"/>
            <rFont val="Tahoma"/>
            <family val="2"/>
            <charset val="238"/>
          </rPr>
          <t>Jana Holíková:</t>
        </r>
        <r>
          <rPr>
            <sz val="9"/>
            <color indexed="81"/>
            <rFont val="Tahoma"/>
            <family val="2"/>
            <charset val="238"/>
          </rPr>
          <t xml:space="preserve">
2112 ro51/3 -50.000</t>
        </r>
      </text>
    </comment>
    <comment ref="D228" authorId="2" shapeId="0">
      <text>
        <r>
          <rPr>
            <b/>
            <sz val="9"/>
            <color indexed="81"/>
            <rFont val="Tahoma"/>
            <family val="2"/>
            <charset val="238"/>
          </rPr>
          <t>Jana:</t>
        </r>
        <r>
          <rPr>
            <sz val="9"/>
            <color indexed="81"/>
            <rFont val="Tahoma"/>
            <family val="2"/>
            <charset val="238"/>
          </rPr>
          <t xml:space="preserve">
2105 ro44 +-3.572.950
2107 ro66
+4.422.050 -3.572.950
2109 ro89 +397.841,81
dopl 2020</t>
        </r>
      </text>
    </comment>
    <comment ref="D229" authorId="2" shapeId="0">
      <text>
        <r>
          <rPr>
            <b/>
            <sz val="9"/>
            <color indexed="81"/>
            <rFont val="Tahoma"/>
            <family val="2"/>
            <charset val="238"/>
          </rPr>
          <t>Jana:</t>
        </r>
        <r>
          <rPr>
            <sz val="9"/>
            <color indexed="81"/>
            <rFont val="Tahoma"/>
            <family val="2"/>
            <charset val="238"/>
          </rPr>
          <t xml:space="preserve">
2105 ro43 -1.137.306
+1.211.186</t>
        </r>
      </text>
    </comment>
    <comment ref="D230" authorId="2" shapeId="0">
      <text>
        <r>
          <rPr>
            <b/>
            <sz val="9"/>
            <color indexed="81"/>
            <rFont val="Tahoma"/>
            <family val="2"/>
            <charset val="238"/>
          </rPr>
          <t>Jana:</t>
        </r>
        <r>
          <rPr>
            <sz val="9"/>
            <color indexed="81"/>
            <rFont val="Tahoma"/>
            <family val="2"/>
            <charset val="238"/>
          </rPr>
          <t xml:space="preserve">
2106 ro53 +91.988</t>
        </r>
      </text>
    </comment>
    <comment ref="D231" authorId="2" shapeId="0">
      <text>
        <r>
          <rPr>
            <b/>
            <sz val="9"/>
            <color indexed="81"/>
            <rFont val="Tahoma"/>
            <family val="2"/>
            <charset val="238"/>
          </rPr>
          <t>Jana:</t>
        </r>
        <r>
          <rPr>
            <sz val="9"/>
            <color indexed="81"/>
            <rFont val="Tahoma"/>
            <family val="2"/>
            <charset val="238"/>
          </rPr>
          <t xml:space="preserve">
2105 ro40 +1.395.266</t>
        </r>
      </text>
    </comment>
    <comment ref="D232" authorId="2" shapeId="0">
      <text>
        <r>
          <rPr>
            <b/>
            <sz val="9"/>
            <color indexed="81"/>
            <rFont val="Tahoma"/>
            <family val="2"/>
            <charset val="238"/>
          </rPr>
          <t>Jana:</t>
        </r>
        <r>
          <rPr>
            <sz val="9"/>
            <color indexed="81"/>
            <rFont val="Tahoma"/>
            <family val="2"/>
            <charset val="238"/>
          </rPr>
          <t xml:space="preserve">
2212 ro133 +3.600</t>
        </r>
      </text>
    </comment>
    <comment ref="D233" authorId="2" shapeId="0">
      <text>
        <r>
          <rPr>
            <b/>
            <sz val="9"/>
            <color indexed="81"/>
            <rFont val="Tahoma"/>
            <family val="2"/>
            <charset val="238"/>
          </rPr>
          <t>Jana:</t>
        </r>
        <r>
          <rPr>
            <sz val="9"/>
            <color indexed="81"/>
            <rFont val="Tahoma"/>
            <family val="2"/>
            <charset val="238"/>
          </rPr>
          <t xml:space="preserve">
2210 ro104 +140.000</t>
        </r>
      </text>
    </comment>
    <comment ref="D234" authorId="1" shapeId="0">
      <text>
        <r>
          <rPr>
            <b/>
            <sz val="9"/>
            <color indexed="81"/>
            <rFont val="Tahoma"/>
            <family val="2"/>
            <charset val="238"/>
          </rPr>
          <t>Jana Holíková:</t>
        </r>
        <r>
          <rPr>
            <sz val="9"/>
            <color indexed="81"/>
            <rFont val="Tahoma"/>
            <family val="2"/>
            <charset val="238"/>
          </rPr>
          <t xml:space="preserve">
2109 ro92 +157.016,39 1071 </t>
        </r>
      </text>
    </comment>
    <comment ref="D235" authorId="1" shapeId="0">
      <text>
        <r>
          <rPr>
            <b/>
            <sz val="9"/>
            <color indexed="81"/>
            <rFont val="Tahoma"/>
            <family val="2"/>
            <charset val="238"/>
          </rPr>
          <t>Jana Holíková:</t>
        </r>
        <r>
          <rPr>
            <sz val="9"/>
            <color indexed="81"/>
            <rFont val="Tahoma"/>
            <family val="2"/>
            <charset val="238"/>
          </rPr>
          <t xml:space="preserve">
2109 ro 92 +2.669.278,68 1075</t>
        </r>
      </text>
    </comment>
    <comment ref="D236" authorId="1" shapeId="0">
      <text>
        <r>
          <rPr>
            <b/>
            <sz val="9"/>
            <color indexed="81"/>
            <rFont val="Tahoma"/>
            <family val="2"/>
            <charset val="238"/>
          </rPr>
          <t>Jana Holíková:</t>
        </r>
        <r>
          <rPr>
            <sz val="9"/>
            <color indexed="81"/>
            <rFont val="Tahoma"/>
            <family val="2"/>
            <charset val="238"/>
          </rPr>
          <t xml:space="preserve">
2112 ro125 +63.450,62 1071 </t>
        </r>
      </text>
    </comment>
    <comment ref="D237" authorId="1" shapeId="0">
      <text>
        <r>
          <rPr>
            <b/>
            <sz val="9"/>
            <color indexed="81"/>
            <rFont val="Tahoma"/>
            <family val="2"/>
            <charset val="238"/>
          </rPr>
          <t>Jana Holíková:</t>
        </r>
        <r>
          <rPr>
            <sz val="9"/>
            <color indexed="81"/>
            <rFont val="Tahoma"/>
            <family val="2"/>
            <charset val="238"/>
          </rPr>
          <t xml:space="preserve">
2112 ro125 +1.078.660,51 1075</t>
        </r>
      </text>
    </comment>
    <comment ref="D238" authorId="1" shapeId="0">
      <text>
        <r>
          <rPr>
            <b/>
            <sz val="9"/>
            <color indexed="81"/>
            <rFont val="Tahoma"/>
            <family val="2"/>
            <charset val="238"/>
          </rPr>
          <t>Jana Holíková:</t>
        </r>
        <r>
          <rPr>
            <sz val="9"/>
            <color indexed="81"/>
            <rFont val="Tahoma"/>
            <family val="2"/>
            <charset val="238"/>
          </rPr>
          <t xml:space="preserve">
2102 ro02 +68.450,27 </t>
        </r>
      </text>
    </comment>
    <comment ref="D239" authorId="1" shapeId="0">
      <text>
        <r>
          <rPr>
            <b/>
            <sz val="9"/>
            <color indexed="81"/>
            <rFont val="Tahoma"/>
            <family val="2"/>
            <charset val="238"/>
          </rPr>
          <t>Jana Holíková:</t>
        </r>
        <r>
          <rPr>
            <sz val="9"/>
            <color indexed="81"/>
            <rFont val="Tahoma"/>
            <family val="2"/>
            <charset val="238"/>
          </rPr>
          <t xml:space="preserve">
2102 ro 02 +1.163.654,63</t>
        </r>
      </text>
    </comment>
    <comment ref="D240" authorId="1" shapeId="0">
      <text>
        <r>
          <rPr>
            <b/>
            <sz val="9"/>
            <color indexed="81"/>
            <rFont val="Tahoma"/>
            <family val="2"/>
            <charset val="238"/>
          </rPr>
          <t>Jana Holíková:</t>
        </r>
        <r>
          <rPr>
            <sz val="9"/>
            <color indexed="81"/>
            <rFont val="Tahoma"/>
            <family val="2"/>
            <charset val="238"/>
          </rPr>
          <t xml:space="preserve">
2102 ro10 +726 </t>
        </r>
      </text>
    </comment>
    <comment ref="D241" authorId="1" shapeId="0">
      <text>
        <r>
          <rPr>
            <b/>
            <sz val="9"/>
            <color indexed="81"/>
            <rFont val="Tahoma"/>
            <family val="2"/>
            <charset val="238"/>
          </rPr>
          <t>Jana Holíková:</t>
        </r>
        <r>
          <rPr>
            <sz val="9"/>
            <color indexed="81"/>
            <rFont val="Tahoma"/>
            <family val="2"/>
            <charset val="238"/>
          </rPr>
          <t xml:space="preserve">
2102 ro 10 +14.520</t>
        </r>
      </text>
    </comment>
    <comment ref="D242" authorId="1" shapeId="0">
      <text>
        <r>
          <rPr>
            <b/>
            <sz val="9"/>
            <color indexed="81"/>
            <rFont val="Tahoma"/>
            <family val="2"/>
            <charset val="238"/>
          </rPr>
          <t>Jana Holíková:</t>
        </r>
        <r>
          <rPr>
            <sz val="9"/>
            <color indexed="81"/>
            <rFont val="Tahoma"/>
            <family val="2"/>
            <charset val="238"/>
          </rPr>
          <t xml:space="preserve">
2111 ro114 +961,95</t>
        </r>
      </text>
    </comment>
    <comment ref="D243" authorId="1" shapeId="0">
      <text>
        <r>
          <rPr>
            <b/>
            <sz val="9"/>
            <color indexed="81"/>
            <rFont val="Tahoma"/>
            <family val="2"/>
            <charset val="238"/>
          </rPr>
          <t>Jana Holíková:</t>
        </r>
        <r>
          <rPr>
            <sz val="9"/>
            <color indexed="81"/>
            <rFont val="Tahoma"/>
            <family val="2"/>
            <charset val="238"/>
          </rPr>
          <t xml:space="preserve">
2111 ro114 +19.239</t>
        </r>
      </text>
    </comment>
    <comment ref="D244" authorId="2" shapeId="0">
      <text>
        <r>
          <rPr>
            <b/>
            <sz val="9"/>
            <color indexed="81"/>
            <rFont val="Tahoma"/>
            <family val="2"/>
            <charset val="238"/>
          </rPr>
          <t>Jana:</t>
        </r>
        <r>
          <rPr>
            <sz val="9"/>
            <color indexed="81"/>
            <rFont val="Tahoma"/>
            <family val="2"/>
            <charset val="238"/>
          </rPr>
          <t xml:space="preserve">
2112 ro136 
+24.381,50 +35.574</t>
        </r>
      </text>
    </comment>
    <comment ref="D245" authorId="2" shapeId="0">
      <text>
        <r>
          <rPr>
            <b/>
            <sz val="9"/>
            <color indexed="81"/>
            <rFont val="Tahoma"/>
            <family val="2"/>
            <charset val="238"/>
          </rPr>
          <t>Jana:</t>
        </r>
        <r>
          <rPr>
            <sz val="9"/>
            <color indexed="81"/>
            <rFont val="Tahoma"/>
            <family val="2"/>
            <charset val="238"/>
          </rPr>
          <t xml:space="preserve">
2106 ro54 +167.860
2112 ro137 +44.100</t>
        </r>
      </text>
    </comment>
    <comment ref="D246" authorId="2" shapeId="0">
      <text>
        <r>
          <rPr>
            <b/>
            <sz val="9"/>
            <color indexed="81"/>
            <rFont val="Tahoma"/>
            <family val="2"/>
            <charset val="238"/>
          </rPr>
          <t>Jana:</t>
        </r>
        <r>
          <rPr>
            <sz val="9"/>
            <color indexed="81"/>
            <rFont val="Tahoma"/>
            <family val="2"/>
            <charset val="238"/>
          </rPr>
          <t xml:space="preserve">
2112 ro137 +31.689</t>
        </r>
      </text>
    </comment>
    <comment ref="D247" authorId="1" shapeId="0">
      <text>
        <r>
          <rPr>
            <b/>
            <sz val="9"/>
            <color indexed="81"/>
            <rFont val="Tahoma"/>
            <family val="2"/>
            <charset val="238"/>
          </rPr>
          <t>Jana Holíková:</t>
        </r>
        <r>
          <rPr>
            <sz val="9"/>
            <color indexed="81"/>
            <rFont val="Tahoma"/>
            <family val="2"/>
            <charset val="238"/>
          </rPr>
          <t xml:space="preserve">
2102 ro3 úz 33063
+ 70.381,36 1031
+398.827,64 1035</t>
        </r>
      </text>
    </comment>
    <comment ref="D248" authorId="1" shapeId="0">
      <text>
        <r>
          <rPr>
            <b/>
            <sz val="9"/>
            <color indexed="81"/>
            <rFont val="Tahoma"/>
            <family val="2"/>
            <charset val="238"/>
          </rPr>
          <t>Jana Holíková:</t>
        </r>
        <r>
          <rPr>
            <sz val="9"/>
            <color indexed="81"/>
            <rFont val="Tahoma"/>
            <family val="2"/>
            <charset val="238"/>
          </rPr>
          <t xml:space="preserve">
2107 ro72 úz 33063
+205.074,76 1031
+1.162.090,24 1035</t>
        </r>
      </text>
    </comment>
    <comment ref="D249" authorId="1" shapeId="0">
      <text>
        <r>
          <rPr>
            <b/>
            <sz val="9"/>
            <color indexed="81"/>
            <rFont val="Tahoma"/>
            <family val="2"/>
            <charset val="238"/>
          </rPr>
          <t>Jana Holíková:</t>
        </r>
        <r>
          <rPr>
            <sz val="9"/>
            <color indexed="81"/>
            <rFont val="Tahoma"/>
            <family val="2"/>
            <charset val="238"/>
          </rPr>
          <t xml:space="preserve">
2103 ro24 úz 33063
+169.419,91 1031
+960.046,09 1035</t>
        </r>
      </text>
    </comment>
    <comment ref="D250" authorId="2" shapeId="0">
      <text>
        <r>
          <rPr>
            <b/>
            <sz val="9"/>
            <color indexed="81"/>
            <rFont val="Tahoma"/>
            <family val="2"/>
            <charset val="238"/>
          </rPr>
          <t>Jana:</t>
        </r>
        <r>
          <rPr>
            <sz val="9"/>
            <color indexed="81"/>
            <rFont val="Tahoma"/>
            <family val="2"/>
            <charset val="238"/>
          </rPr>
          <t xml:space="preserve">
2106 ro56 +62.300
2111 ro56/1 -7892,36
2112 ro134 +15.000</t>
        </r>
      </text>
    </comment>
    <comment ref="D251" authorId="2" shapeId="0">
      <text>
        <r>
          <rPr>
            <b/>
            <sz val="9"/>
            <color indexed="81"/>
            <rFont val="Tahoma"/>
            <family val="2"/>
            <charset val="238"/>
          </rPr>
          <t>Jana:</t>
        </r>
        <r>
          <rPr>
            <sz val="9"/>
            <color indexed="81"/>
            <rFont val="Tahoma"/>
            <family val="2"/>
            <charset val="238"/>
          </rPr>
          <t xml:space="preserve">
2108 ro77 +382.000</t>
        </r>
      </text>
    </comment>
    <comment ref="D252" authorId="2" shapeId="0">
      <text>
        <r>
          <rPr>
            <b/>
            <sz val="9"/>
            <color indexed="81"/>
            <rFont val="Tahoma"/>
            <family val="2"/>
            <charset val="238"/>
          </rPr>
          <t>Jana:</t>
        </r>
        <r>
          <rPr>
            <sz val="9"/>
            <color indexed="81"/>
            <rFont val="Tahoma"/>
            <family val="2"/>
            <charset val="238"/>
          </rPr>
          <t xml:space="preserve">
2111 ro112 +929.000</t>
        </r>
      </text>
    </comment>
    <comment ref="D254" authorId="2" shapeId="0">
      <text>
        <r>
          <rPr>
            <b/>
            <sz val="9"/>
            <color indexed="81"/>
            <rFont val="Tahoma"/>
            <family val="2"/>
            <charset val="238"/>
          </rPr>
          <t>Jana:</t>
        </r>
        <r>
          <rPr>
            <sz val="9"/>
            <color indexed="81"/>
            <rFont val="Tahoma"/>
            <family val="2"/>
            <charset val="238"/>
          </rPr>
          <t xml:space="preserve">
2106 ro51 +34.000</t>
        </r>
      </text>
    </comment>
    <comment ref="D259" authorId="2" shapeId="0">
      <text>
        <r>
          <rPr>
            <b/>
            <sz val="9"/>
            <color indexed="81"/>
            <rFont val="Tahoma"/>
            <family val="2"/>
            <charset val="238"/>
          </rPr>
          <t>Jana:</t>
        </r>
        <r>
          <rPr>
            <sz val="9"/>
            <color indexed="81"/>
            <rFont val="Tahoma"/>
            <family val="2"/>
            <charset val="238"/>
          </rPr>
          <t xml:space="preserve">
2106 ro51 +434.660
2112 ro51/4 -299918,10
2112 ro51/5 -134.741,90</t>
        </r>
      </text>
    </comment>
    <comment ref="D260" authorId="2" shapeId="0">
      <text>
        <r>
          <rPr>
            <b/>
            <sz val="9"/>
            <color indexed="81"/>
            <rFont val="Tahoma"/>
            <family val="2"/>
            <charset val="238"/>
          </rPr>
          <t>Jana:</t>
        </r>
        <r>
          <rPr>
            <sz val="9"/>
            <color indexed="81"/>
            <rFont val="Tahoma"/>
            <family val="2"/>
            <charset val="238"/>
          </rPr>
          <t xml:space="preserve">
2112 ro51/5 +149.629</t>
        </r>
      </text>
    </comment>
    <comment ref="D261" authorId="2" shapeId="0">
      <text>
        <r>
          <rPr>
            <b/>
            <sz val="9"/>
            <color indexed="81"/>
            <rFont val="Tahoma"/>
            <family val="2"/>
            <charset val="238"/>
          </rPr>
          <t>Jana:</t>
        </r>
        <r>
          <rPr>
            <sz val="9"/>
            <color indexed="81"/>
            <rFont val="Tahoma"/>
            <family val="2"/>
            <charset val="238"/>
          </rPr>
          <t xml:space="preserve">
2106 ro51 +4.000</t>
        </r>
      </text>
    </comment>
    <comment ref="D263" authorId="1" shapeId="0">
      <text>
        <r>
          <rPr>
            <b/>
            <sz val="9"/>
            <color indexed="81"/>
            <rFont val="Tahoma"/>
            <family val="2"/>
            <charset val="238"/>
          </rPr>
          <t>Jana Holíková:</t>
        </r>
        <r>
          <rPr>
            <sz val="9"/>
            <color indexed="81"/>
            <rFont val="Tahoma"/>
            <family val="2"/>
            <charset val="238"/>
          </rPr>
          <t xml:space="preserve">
2108 ro51/1 +598.048,54</t>
        </r>
      </text>
    </comment>
    <comment ref="D265" authorId="2" shapeId="0">
      <text>
        <r>
          <rPr>
            <b/>
            <sz val="9"/>
            <color indexed="81"/>
            <rFont val="Tahoma"/>
            <family val="2"/>
            <charset val="238"/>
          </rPr>
          <t>Jana:</t>
        </r>
        <r>
          <rPr>
            <sz val="9"/>
            <color indexed="81"/>
            <rFont val="Tahoma"/>
            <family val="2"/>
            <charset val="238"/>
          </rPr>
          <t xml:space="preserve">
2106 ro55 +106.000
2109 ro55/1 -6.000</t>
        </r>
      </text>
    </comment>
    <comment ref="D266" authorId="1" shapeId="0">
      <text>
        <r>
          <rPr>
            <b/>
            <sz val="9"/>
            <color indexed="81"/>
            <rFont val="Tahoma"/>
            <family val="2"/>
            <charset val="238"/>
          </rPr>
          <t>Jana Holíková:</t>
        </r>
        <r>
          <rPr>
            <sz val="9"/>
            <color indexed="81"/>
            <rFont val="Tahoma"/>
            <family val="2"/>
            <charset val="238"/>
          </rPr>
          <t xml:space="preserve">
2102 ro4 úz345
+4.123.000</t>
        </r>
      </text>
    </comment>
    <comment ref="D267" authorId="1" shapeId="0">
      <text>
        <r>
          <rPr>
            <b/>
            <sz val="9"/>
            <color indexed="81"/>
            <rFont val="Tahoma"/>
            <family val="2"/>
            <charset val="238"/>
          </rPr>
          <t>Jana Holíková:</t>
        </r>
        <r>
          <rPr>
            <sz val="9"/>
            <color indexed="81"/>
            <rFont val="Tahoma"/>
            <family val="2"/>
            <charset val="238"/>
          </rPr>
          <t xml:space="preserve">
2104 ro36 úz691
+100.000</t>
        </r>
      </text>
    </comment>
    <comment ref="D268" authorId="1" shapeId="0">
      <text>
        <r>
          <rPr>
            <b/>
            <sz val="9"/>
            <color indexed="81"/>
            <rFont val="Tahoma"/>
            <family val="2"/>
            <charset val="238"/>
          </rPr>
          <t>Jana Holíková:</t>
        </r>
        <r>
          <rPr>
            <sz val="9"/>
            <color indexed="81"/>
            <rFont val="Tahoma"/>
            <family val="2"/>
            <charset val="238"/>
          </rPr>
          <t xml:space="preserve">
2110 ro95 úz 13014 1201,5
+4.839,56 +27.424,29  0321
+2.670,26 +15.131,44 0322
+4.369,37 +24.759,73 0323
</t>
        </r>
      </text>
    </comment>
    <comment ref="D269" authorId="2" shapeId="0">
      <text>
        <r>
          <rPr>
            <b/>
            <sz val="9"/>
            <color indexed="81"/>
            <rFont val="Tahoma"/>
            <family val="2"/>
            <charset val="238"/>
          </rPr>
          <t>Jana:</t>
        </r>
        <r>
          <rPr>
            <sz val="9"/>
            <color indexed="81"/>
            <rFont val="Tahoma"/>
            <family val="2"/>
            <charset val="238"/>
          </rPr>
          <t xml:space="preserve">
2104 ro35 +5.584.000
2110 ro93 +334.000</t>
        </r>
      </text>
    </comment>
    <comment ref="D270" authorId="1" shapeId="0">
      <text>
        <r>
          <rPr>
            <b/>
            <sz val="9"/>
            <color indexed="81"/>
            <rFont val="Tahoma"/>
            <family val="2"/>
            <charset val="238"/>
          </rPr>
          <t>Jana Holíková:</t>
        </r>
        <r>
          <rPr>
            <sz val="9"/>
            <color indexed="81"/>
            <rFont val="Tahoma"/>
            <family val="2"/>
            <charset val="238"/>
          </rPr>
          <t xml:space="preserve">
2108 ro51/1 +1.000</t>
        </r>
      </text>
    </comment>
    <comment ref="D273" authorId="1" shapeId="0">
      <text>
        <r>
          <rPr>
            <b/>
            <sz val="9"/>
            <color indexed="81"/>
            <rFont val="Tahoma"/>
            <family val="2"/>
            <charset val="238"/>
          </rPr>
          <t>Jana Holíková:</t>
        </r>
        <r>
          <rPr>
            <sz val="9"/>
            <color indexed="81"/>
            <rFont val="Tahoma"/>
            <family val="2"/>
            <charset val="238"/>
          </rPr>
          <t xml:space="preserve">
2112 ro51/3 -12.036
2112 ro51/4 -100</t>
        </r>
      </text>
    </comment>
    <comment ref="D274" authorId="1" shapeId="0">
      <text>
        <r>
          <rPr>
            <b/>
            <sz val="9"/>
            <color indexed="81"/>
            <rFont val="Tahoma"/>
            <family val="2"/>
            <charset val="238"/>
          </rPr>
          <t>Jana Holíková:</t>
        </r>
        <r>
          <rPr>
            <sz val="9"/>
            <color indexed="81"/>
            <rFont val="Tahoma"/>
            <family val="2"/>
            <charset val="238"/>
          </rPr>
          <t xml:space="preserve">
2112 ro51/3
-200.000 úz90992</t>
        </r>
      </text>
    </comment>
    <comment ref="D275" authorId="1" shapeId="0">
      <text>
        <r>
          <rPr>
            <b/>
            <sz val="9"/>
            <color indexed="81"/>
            <rFont val="Tahoma"/>
            <family val="2"/>
            <charset val="238"/>
          </rPr>
          <t>Jana Holíková:</t>
        </r>
        <r>
          <rPr>
            <sz val="9"/>
            <color indexed="81"/>
            <rFont val="Tahoma"/>
            <family val="2"/>
            <charset val="238"/>
          </rPr>
          <t xml:space="preserve">
2112 ro51/4 +0,46</t>
        </r>
      </text>
    </comment>
    <comment ref="D276" authorId="1" shapeId="0">
      <text>
        <r>
          <rPr>
            <b/>
            <sz val="9"/>
            <color indexed="81"/>
            <rFont val="Tahoma"/>
            <family val="2"/>
            <charset val="238"/>
          </rPr>
          <t>Jana Holíková:</t>
        </r>
        <r>
          <rPr>
            <sz val="9"/>
            <color indexed="81"/>
            <rFont val="Tahoma"/>
            <family val="2"/>
            <charset val="238"/>
          </rPr>
          <t xml:space="preserve">
2112 ro51/4 -0,52</t>
        </r>
      </text>
    </comment>
    <comment ref="D277" authorId="1" shapeId="0">
      <text>
        <r>
          <rPr>
            <b/>
            <sz val="9"/>
            <color indexed="81"/>
            <rFont val="Tahoma"/>
            <family val="2"/>
            <charset val="238"/>
          </rPr>
          <t>Jana Holíková:</t>
        </r>
        <r>
          <rPr>
            <sz val="9"/>
            <color indexed="81"/>
            <rFont val="Tahoma"/>
            <family val="2"/>
            <charset val="238"/>
          </rPr>
          <t xml:space="preserve">
2111 ro115 +26.506
1301</t>
        </r>
      </text>
    </comment>
    <comment ref="D278" authorId="1" shapeId="0">
      <text>
        <r>
          <rPr>
            <b/>
            <sz val="9"/>
            <color indexed="81"/>
            <rFont val="Tahoma"/>
            <family val="2"/>
            <charset val="238"/>
          </rPr>
          <t>Jana Holíková:</t>
        </r>
        <r>
          <rPr>
            <sz val="9"/>
            <color indexed="81"/>
            <rFont val="Tahoma"/>
            <family val="2"/>
            <charset val="238"/>
          </rPr>
          <t xml:space="preserve">
2111 ro115 +47.120
1305</t>
        </r>
      </text>
    </comment>
    <comment ref="D280" authorId="1" shapeId="0">
      <text>
        <r>
          <rPr>
            <b/>
            <sz val="9"/>
            <color indexed="81"/>
            <rFont val="Tahoma"/>
            <family val="2"/>
            <charset val="238"/>
          </rPr>
          <t>Jana Holíková:</t>
        </r>
        <r>
          <rPr>
            <sz val="9"/>
            <color indexed="81"/>
            <rFont val="Tahoma"/>
            <family val="2"/>
            <charset val="238"/>
          </rPr>
          <t xml:space="preserve">
2112 ro 51/4 -5.992.790,43</t>
        </r>
      </text>
    </comment>
    <comment ref="D281" authorId="1" shapeId="0">
      <text>
        <r>
          <rPr>
            <b/>
            <sz val="9"/>
            <color indexed="81"/>
            <rFont val="Tahoma"/>
            <family val="2"/>
            <charset val="238"/>
          </rPr>
          <t>Jana Holíková:</t>
        </r>
        <r>
          <rPr>
            <sz val="9"/>
            <color indexed="81"/>
            <rFont val="Tahoma"/>
            <family val="2"/>
            <charset val="238"/>
          </rPr>
          <t xml:space="preserve">
2112 ro51/4 -3.605.622,22</t>
        </r>
      </text>
    </comment>
    <comment ref="D282" authorId="2" shapeId="0">
      <text>
        <r>
          <rPr>
            <b/>
            <sz val="9"/>
            <color indexed="81"/>
            <rFont val="Tahoma"/>
            <family val="2"/>
            <charset val="238"/>
          </rPr>
          <t>Jana:</t>
        </r>
        <r>
          <rPr>
            <sz val="9"/>
            <color indexed="81"/>
            <rFont val="Tahoma"/>
            <family val="2"/>
            <charset val="238"/>
          </rPr>
          <t xml:space="preserve">
2104 ro31 úz13013
+  59.625    1041
+506.812,5  1045</t>
        </r>
      </text>
    </comment>
    <comment ref="D283" authorId="1" shapeId="0">
      <text>
        <r>
          <rPr>
            <b/>
            <sz val="9"/>
            <color indexed="81"/>
            <rFont val="Tahoma"/>
            <family val="2"/>
            <charset val="238"/>
          </rPr>
          <t>Jana Holíková:</t>
        </r>
        <r>
          <rPr>
            <sz val="9"/>
            <color indexed="81"/>
            <rFont val="Tahoma"/>
            <family val="2"/>
            <charset val="238"/>
          </rPr>
          <t xml:space="preserve">
2109 ro92 +142.709,29 1071 </t>
        </r>
      </text>
    </comment>
    <comment ref="D284" authorId="1" shapeId="0">
      <text>
        <r>
          <rPr>
            <b/>
            <sz val="9"/>
            <color indexed="81"/>
            <rFont val="Tahoma"/>
            <family val="2"/>
            <charset val="238"/>
          </rPr>
          <t>Jana Holíková:</t>
        </r>
        <r>
          <rPr>
            <sz val="9"/>
            <color indexed="81"/>
            <rFont val="Tahoma"/>
            <family val="2"/>
            <charset val="238"/>
          </rPr>
          <t xml:space="preserve">
2109 ro 92 +2.426.057,88 1075</t>
        </r>
      </text>
    </comment>
    <comment ref="D285" authorId="1" shapeId="0">
      <text>
        <r>
          <rPr>
            <b/>
            <sz val="9"/>
            <color indexed="81"/>
            <rFont val="Tahoma"/>
            <family val="2"/>
            <charset val="238"/>
          </rPr>
          <t>Jana Holíková:</t>
        </r>
        <r>
          <rPr>
            <sz val="9"/>
            <color indexed="81"/>
            <rFont val="Tahoma"/>
            <family val="2"/>
            <charset val="238"/>
          </rPr>
          <t xml:space="preserve">
2112 ro125 +155.438,30 1071 </t>
        </r>
      </text>
    </comment>
    <comment ref="D286" authorId="1" shapeId="0">
      <text>
        <r>
          <rPr>
            <b/>
            <sz val="9"/>
            <color indexed="81"/>
            <rFont val="Tahoma"/>
            <family val="2"/>
            <charset val="238"/>
          </rPr>
          <t>Jana Holíková:</t>
        </r>
        <r>
          <rPr>
            <sz val="9"/>
            <color indexed="81"/>
            <rFont val="Tahoma"/>
            <family val="2"/>
            <charset val="238"/>
          </rPr>
          <t xml:space="preserve">
2112 ro125 +2.642.451,15 1075</t>
        </r>
      </text>
    </comment>
    <comment ref="D287" authorId="1" shapeId="0">
      <text>
        <r>
          <rPr>
            <b/>
            <sz val="9"/>
            <color indexed="81"/>
            <rFont val="Tahoma"/>
            <family val="2"/>
            <charset val="238"/>
          </rPr>
          <t>Jana Holíková:</t>
        </r>
        <r>
          <rPr>
            <sz val="9"/>
            <color indexed="81"/>
            <rFont val="Tahoma"/>
            <family val="2"/>
            <charset val="238"/>
          </rPr>
          <t xml:space="preserve">
2102 ro 2 +51.518,60</t>
        </r>
      </text>
    </comment>
    <comment ref="D288" authorId="1" shapeId="0">
      <text>
        <r>
          <rPr>
            <b/>
            <sz val="9"/>
            <color indexed="81"/>
            <rFont val="Tahoma"/>
            <family val="2"/>
            <charset val="238"/>
          </rPr>
          <t>Jana Holíková:</t>
        </r>
        <r>
          <rPr>
            <sz val="9"/>
            <color indexed="81"/>
            <rFont val="Tahoma"/>
            <family val="2"/>
            <charset val="238"/>
          </rPr>
          <t xml:space="preserve">
2102 ro 2 +875.816,20</t>
        </r>
      </text>
    </comment>
    <comment ref="D289" authorId="1" shapeId="0">
      <text>
        <r>
          <rPr>
            <b/>
            <sz val="9"/>
            <color indexed="81"/>
            <rFont val="Tahoma"/>
            <family val="2"/>
            <charset val="238"/>
          </rPr>
          <t>Jana Holíková:</t>
        </r>
        <r>
          <rPr>
            <sz val="9"/>
            <color indexed="81"/>
            <rFont val="Tahoma"/>
            <family val="2"/>
            <charset val="238"/>
          </rPr>
          <t xml:space="preserve">
2102 ro10 +43,084,73</t>
        </r>
      </text>
    </comment>
    <comment ref="D290" authorId="1" shapeId="0">
      <text>
        <r>
          <rPr>
            <b/>
            <sz val="9"/>
            <color indexed="81"/>
            <rFont val="Tahoma"/>
            <family val="2"/>
            <charset val="238"/>
          </rPr>
          <t>Jana Holíková:</t>
        </r>
        <r>
          <rPr>
            <sz val="9"/>
            <color indexed="81"/>
            <rFont val="Tahoma"/>
            <family val="2"/>
            <charset val="238"/>
          </rPr>
          <t xml:space="preserve">
2102 ro10 +861.694,74</t>
        </r>
      </text>
    </comment>
    <comment ref="D291" authorId="1" shapeId="0">
      <text>
        <r>
          <rPr>
            <b/>
            <sz val="9"/>
            <color indexed="81"/>
            <rFont val="Tahoma"/>
            <family val="2"/>
            <charset val="238"/>
          </rPr>
          <t>Jana Holíková:</t>
        </r>
        <r>
          <rPr>
            <sz val="9"/>
            <color indexed="81"/>
            <rFont val="Tahoma"/>
            <family val="2"/>
            <charset val="238"/>
          </rPr>
          <t xml:space="preserve">
2111 ro114 +33.696,63</t>
        </r>
      </text>
    </comment>
    <comment ref="D292" authorId="1" shapeId="0">
      <text>
        <r>
          <rPr>
            <b/>
            <sz val="9"/>
            <color indexed="81"/>
            <rFont val="Tahoma"/>
            <family val="2"/>
            <charset val="238"/>
          </rPr>
          <t>Jana Holíková:</t>
        </r>
        <r>
          <rPr>
            <sz val="9"/>
            <color indexed="81"/>
            <rFont val="Tahoma"/>
            <family val="2"/>
            <charset val="238"/>
          </rPr>
          <t xml:space="preserve">
2111 ro114 +673.932,66</t>
        </r>
      </text>
    </comment>
    <comment ref="D293" authorId="1" shapeId="0">
      <text>
        <r>
          <rPr>
            <b/>
            <sz val="9"/>
            <color indexed="81"/>
            <rFont val="Tahoma"/>
            <family val="2"/>
            <charset val="238"/>
          </rPr>
          <t>Jana Holíková:</t>
        </r>
        <r>
          <rPr>
            <sz val="9"/>
            <color indexed="81"/>
            <rFont val="Tahoma"/>
            <family val="2"/>
            <charset val="238"/>
          </rPr>
          <t xml:space="preserve">
2103 ro12 +2.226.747,48
2112 ro51/3 -5,96</t>
        </r>
      </text>
    </comment>
    <comment ref="D294" authorId="1" shapeId="0">
      <text>
        <r>
          <rPr>
            <b/>
            <sz val="9"/>
            <color indexed="81"/>
            <rFont val="Tahoma"/>
            <family val="2"/>
            <charset val="238"/>
          </rPr>
          <t>Jana Holíková:</t>
        </r>
        <r>
          <rPr>
            <sz val="9"/>
            <color indexed="81"/>
            <rFont val="Tahoma"/>
            <family val="2"/>
            <charset val="238"/>
          </rPr>
          <t xml:space="preserve">
2109 ro91 +-2.000.000
2111 ro91-revokace
-2.000.000</t>
        </r>
      </text>
    </comment>
    <comment ref="D296" authorId="1" shapeId="0">
      <text>
        <r>
          <rPr>
            <b/>
            <sz val="9"/>
            <color indexed="81"/>
            <rFont val="Tahoma"/>
            <family val="2"/>
            <charset val="238"/>
          </rPr>
          <t>Jana Holíková:</t>
        </r>
        <r>
          <rPr>
            <sz val="9"/>
            <color indexed="81"/>
            <rFont val="Tahoma"/>
            <family val="2"/>
            <charset val="238"/>
          </rPr>
          <t xml:space="preserve">
2103 ro12 úz201
+3.436.854,42
-3.700.000</t>
        </r>
      </text>
    </comment>
    <comment ref="D297" authorId="1" shapeId="0">
      <text>
        <r>
          <rPr>
            <b/>
            <sz val="9"/>
            <color indexed="81"/>
            <rFont val="Tahoma"/>
            <family val="2"/>
            <charset val="238"/>
          </rPr>
          <t>Jana Holíková:</t>
        </r>
        <r>
          <rPr>
            <sz val="9"/>
            <color indexed="81"/>
            <rFont val="Tahoma"/>
            <family val="2"/>
            <charset val="238"/>
          </rPr>
          <t xml:space="preserve">
2112 ro51/3 -5.500.000</t>
        </r>
      </text>
    </comment>
    <comment ref="D298" authorId="1" shapeId="0">
      <text>
        <r>
          <rPr>
            <b/>
            <sz val="9"/>
            <color indexed="81"/>
            <rFont val="Tahoma"/>
            <family val="2"/>
            <charset val="238"/>
          </rPr>
          <t>Jana Holíková:</t>
        </r>
        <r>
          <rPr>
            <sz val="9"/>
            <color indexed="81"/>
            <rFont val="Tahoma"/>
            <family val="2"/>
            <charset val="238"/>
          </rPr>
          <t xml:space="preserve">
2103 ro16 -60.000
2107 +65.339,83</t>
        </r>
      </text>
    </comment>
    <comment ref="D299" authorId="1" shapeId="0">
      <text>
        <r>
          <rPr>
            <b/>
            <sz val="9"/>
            <color indexed="81"/>
            <rFont val="Tahoma"/>
            <family val="2"/>
            <charset val="238"/>
          </rPr>
          <t>Jana Holíková:</t>
        </r>
        <r>
          <rPr>
            <sz val="9"/>
            <color indexed="81"/>
            <rFont val="Tahoma"/>
            <family val="2"/>
            <charset val="238"/>
          </rPr>
          <t xml:space="preserve">
2107 ro62 +186.960</t>
        </r>
      </text>
    </comment>
    <comment ref="D300" authorId="1" shapeId="0">
      <text>
        <r>
          <rPr>
            <b/>
            <sz val="9"/>
            <color indexed="81"/>
            <rFont val="Tahoma"/>
            <family val="2"/>
            <charset val="238"/>
          </rPr>
          <t>Jana Holíková:</t>
        </r>
        <r>
          <rPr>
            <sz val="9"/>
            <color indexed="81"/>
            <rFont val="Tahoma"/>
            <family val="2"/>
            <charset val="238"/>
          </rPr>
          <t xml:space="preserve">
2107 ro63 +320.000</t>
        </r>
      </text>
    </comment>
    <comment ref="D305" authorId="1" shapeId="0">
      <text>
        <r>
          <rPr>
            <b/>
            <sz val="9"/>
            <color indexed="81"/>
            <rFont val="Tahoma"/>
            <family val="2"/>
            <charset val="238"/>
          </rPr>
          <t>Jana Holíková:</t>
        </r>
        <r>
          <rPr>
            <sz val="9"/>
            <color indexed="81"/>
            <rFont val="Tahoma"/>
            <family val="2"/>
            <charset val="238"/>
          </rPr>
          <t xml:space="preserve">
2103 ro17 -7.195.200
2109 ro83 +2.000.000</t>
        </r>
      </text>
    </comment>
    <comment ref="D323" authorId="1" shapeId="0">
      <text>
        <r>
          <rPr>
            <b/>
            <sz val="9"/>
            <color indexed="81"/>
            <rFont val="Tahoma"/>
            <charset val="1"/>
          </rPr>
          <t>Jana Holíková:</t>
        </r>
        <r>
          <rPr>
            <sz val="9"/>
            <color indexed="81"/>
            <rFont val="Tahoma"/>
            <charset val="1"/>
          </rPr>
          <t xml:space="preserve">
211208 +15.000</t>
        </r>
      </text>
    </comment>
    <comment ref="D325" authorId="1" shapeId="0">
      <text>
        <r>
          <rPr>
            <b/>
            <sz val="9"/>
            <color indexed="81"/>
            <rFont val="Tahoma"/>
            <charset val="1"/>
          </rPr>
          <t>Jana Holíková:</t>
        </r>
        <r>
          <rPr>
            <sz val="9"/>
            <color indexed="81"/>
            <rFont val="Tahoma"/>
            <charset val="1"/>
          </rPr>
          <t xml:space="preserve">
211208 -15.000</t>
        </r>
      </text>
    </comment>
    <comment ref="D333" authorId="1" shapeId="0">
      <text>
        <r>
          <rPr>
            <b/>
            <sz val="9"/>
            <color indexed="81"/>
            <rFont val="Tahoma"/>
            <family val="2"/>
            <charset val="238"/>
          </rPr>
          <t>Jana Holíková:</t>
        </r>
        <r>
          <rPr>
            <sz val="9"/>
            <color indexed="81"/>
            <rFont val="Tahoma"/>
            <family val="2"/>
            <charset val="238"/>
          </rPr>
          <t xml:space="preserve">
2108 ro80 -2.200.000</t>
        </r>
      </text>
    </comment>
    <comment ref="D334" authorId="1" shapeId="0">
      <text>
        <r>
          <rPr>
            <b/>
            <sz val="9"/>
            <color indexed="81"/>
            <rFont val="Tahoma"/>
            <family val="2"/>
            <charset val="238"/>
          </rPr>
          <t>Jana Holíková:</t>
        </r>
        <r>
          <rPr>
            <sz val="9"/>
            <color indexed="81"/>
            <rFont val="Tahoma"/>
            <family val="2"/>
            <charset val="238"/>
          </rPr>
          <t xml:space="preserve">
2107 ro69 -200.000</t>
        </r>
      </text>
    </comment>
    <comment ref="D335" authorId="1" shapeId="0">
      <text>
        <r>
          <rPr>
            <b/>
            <sz val="9"/>
            <color indexed="81"/>
            <rFont val="Tahoma"/>
            <family val="2"/>
            <charset val="238"/>
          </rPr>
          <t>Jana Holíková:</t>
        </r>
        <r>
          <rPr>
            <sz val="9"/>
            <color indexed="81"/>
            <rFont val="Tahoma"/>
            <family val="2"/>
            <charset val="238"/>
          </rPr>
          <t xml:space="preserve">
2107 ro67 +1.000.000
</t>
        </r>
      </text>
    </comment>
    <comment ref="D336" authorId="1" shapeId="0">
      <text>
        <r>
          <rPr>
            <b/>
            <sz val="9"/>
            <color indexed="81"/>
            <rFont val="Tahoma"/>
            <family val="2"/>
            <charset val="238"/>
          </rPr>
          <t>Jana Holíková:</t>
        </r>
        <r>
          <rPr>
            <sz val="9"/>
            <color indexed="81"/>
            <rFont val="Tahoma"/>
            <family val="2"/>
            <charset val="238"/>
          </rPr>
          <t xml:space="preserve">
210811 +53.240</t>
        </r>
      </text>
    </comment>
    <comment ref="D337" authorId="1" shapeId="0">
      <text>
        <r>
          <rPr>
            <b/>
            <sz val="9"/>
            <color indexed="81"/>
            <rFont val="Tahoma"/>
            <family val="2"/>
            <charset val="238"/>
          </rPr>
          <t>Jana Holíková:</t>
        </r>
        <r>
          <rPr>
            <sz val="9"/>
            <color indexed="81"/>
            <rFont val="Tahoma"/>
            <family val="2"/>
            <charset val="238"/>
          </rPr>
          <t xml:space="preserve">
2111 ro108
+3.905.942,92</t>
        </r>
      </text>
    </comment>
    <comment ref="D338" authorId="2" shapeId="0">
      <text>
        <r>
          <rPr>
            <b/>
            <sz val="9"/>
            <color indexed="81"/>
            <rFont val="Tahoma"/>
            <family val="2"/>
            <charset val="238"/>
          </rPr>
          <t>Jana:</t>
        </r>
        <r>
          <rPr>
            <sz val="9"/>
            <color indexed="81"/>
            <rFont val="Tahoma"/>
            <family val="2"/>
            <charset val="238"/>
          </rPr>
          <t xml:space="preserve">
2105 ro37 +42.500
2112 ro131 -200.000</t>
        </r>
      </text>
    </comment>
    <comment ref="D339" authorId="2" shapeId="0">
      <text>
        <r>
          <rPr>
            <b/>
            <sz val="9"/>
            <color indexed="81"/>
            <rFont val="Tahoma"/>
            <family val="2"/>
            <charset val="238"/>
          </rPr>
          <t>Jana:</t>
        </r>
        <r>
          <rPr>
            <sz val="9"/>
            <color indexed="81"/>
            <rFont val="Tahoma"/>
            <family val="2"/>
            <charset val="238"/>
          </rPr>
          <t xml:space="preserve">
2105 ro37 +87.350
2112 ro131 +200.000</t>
        </r>
      </text>
    </comment>
    <comment ref="D340" authorId="2" shapeId="0">
      <text>
        <r>
          <rPr>
            <b/>
            <sz val="9"/>
            <color indexed="81"/>
            <rFont val="Tahoma"/>
            <family val="2"/>
            <charset val="238"/>
          </rPr>
          <t>Jana:</t>
        </r>
        <r>
          <rPr>
            <sz val="9"/>
            <color indexed="81"/>
            <rFont val="Tahoma"/>
            <family val="2"/>
            <charset val="238"/>
          </rPr>
          <t xml:space="preserve">
2105 ro39 +2.640
2110 ro102 +2.013
211103 +127.050
211215 +100.000</t>
        </r>
      </text>
    </comment>
    <comment ref="D341" authorId="1" shapeId="0">
      <text>
        <r>
          <rPr>
            <b/>
            <sz val="9"/>
            <color indexed="81"/>
            <rFont val="Tahoma"/>
            <family val="2"/>
            <charset val="238"/>
          </rPr>
          <t>Jana Holíková:</t>
        </r>
        <r>
          <rPr>
            <sz val="9"/>
            <color indexed="81"/>
            <rFont val="Tahoma"/>
            <family val="2"/>
            <charset val="238"/>
          </rPr>
          <t xml:space="preserve">
210811 -53.240
211103 -127.050
211215 -100.000
</t>
        </r>
      </text>
    </comment>
    <comment ref="D343" authorId="1" shapeId="0">
      <text>
        <r>
          <rPr>
            <b/>
            <sz val="9"/>
            <color indexed="81"/>
            <rFont val="Tahoma"/>
            <family val="2"/>
            <charset val="238"/>
          </rPr>
          <t>Jana Holíková:</t>
        </r>
        <r>
          <rPr>
            <sz val="9"/>
            <color indexed="81"/>
            <rFont val="Tahoma"/>
            <family val="2"/>
            <charset val="238"/>
          </rPr>
          <t xml:space="preserve">
2108 ro80 +2.200.000
2110 ro106 -766.001,80
2111 ro106úpr
+766001,80 -695.005,27
2112 ro131 -70.996,53</t>
        </r>
      </text>
    </comment>
    <comment ref="D346" authorId="2" shapeId="0">
      <text>
        <r>
          <rPr>
            <b/>
            <sz val="9"/>
            <color indexed="81"/>
            <rFont val="Tahoma"/>
            <family val="2"/>
            <charset val="238"/>
          </rPr>
          <t>Jana:</t>
        </r>
        <r>
          <rPr>
            <sz val="9"/>
            <color indexed="81"/>
            <rFont val="Tahoma"/>
            <family val="2"/>
            <charset val="238"/>
          </rPr>
          <t xml:space="preserve">
2105 ro50 +1.155.128,50</t>
        </r>
      </text>
    </comment>
    <comment ref="D358" authorId="1" shapeId="0">
      <text>
        <r>
          <rPr>
            <b/>
            <sz val="9"/>
            <color indexed="81"/>
            <rFont val="Tahoma"/>
            <family val="2"/>
            <charset val="238"/>
          </rPr>
          <t>Jana Holíková:</t>
        </r>
        <r>
          <rPr>
            <sz val="9"/>
            <color indexed="81"/>
            <rFont val="Tahoma"/>
            <family val="2"/>
            <charset val="238"/>
          </rPr>
          <t xml:space="preserve">
2112 135 +25.000</t>
        </r>
      </text>
    </comment>
    <comment ref="D360" authorId="2" shapeId="0">
      <text>
        <r>
          <rPr>
            <b/>
            <sz val="9"/>
            <color indexed="81"/>
            <rFont val="Tahoma"/>
            <family val="2"/>
            <charset val="238"/>
          </rPr>
          <t>Jana:</t>
        </r>
        <r>
          <rPr>
            <sz val="9"/>
            <color indexed="81"/>
            <rFont val="Tahoma"/>
            <family val="2"/>
            <charset val="238"/>
          </rPr>
          <t xml:space="preserve">
210501 +-201.199
2108 ro79 -299.541</t>
        </r>
      </text>
    </comment>
    <comment ref="D363" authorId="1" shapeId="0">
      <text>
        <r>
          <rPr>
            <b/>
            <sz val="9"/>
            <color indexed="81"/>
            <rFont val="Tahoma"/>
            <family val="2"/>
            <charset val="238"/>
          </rPr>
          <t>Jana Holíková:</t>
        </r>
        <r>
          <rPr>
            <sz val="9"/>
            <color indexed="81"/>
            <rFont val="Tahoma"/>
            <family val="2"/>
            <charset val="238"/>
          </rPr>
          <t xml:space="preserve">
2108 ro79 +299.541</t>
        </r>
      </text>
    </comment>
    <comment ref="D364" authorId="1" shapeId="0">
      <text>
        <r>
          <rPr>
            <b/>
            <sz val="9"/>
            <color indexed="81"/>
            <rFont val="Tahoma"/>
            <family val="2"/>
            <charset val="238"/>
          </rPr>
          <t>Jana Holíková:</t>
        </r>
        <r>
          <rPr>
            <sz val="9"/>
            <color indexed="81"/>
            <rFont val="Tahoma"/>
            <family val="2"/>
            <charset val="238"/>
          </rPr>
          <t xml:space="preserve">
210707 -100.000</t>
        </r>
      </text>
    </comment>
    <comment ref="D366" authorId="1" shapeId="0">
      <text>
        <r>
          <rPr>
            <b/>
            <sz val="9"/>
            <color indexed="81"/>
            <rFont val="Tahoma"/>
            <family val="2"/>
            <charset val="238"/>
          </rPr>
          <t>Jana Holíková:</t>
        </r>
        <r>
          <rPr>
            <sz val="9"/>
            <color indexed="81"/>
            <rFont val="Tahoma"/>
            <family val="2"/>
            <charset val="238"/>
          </rPr>
          <t xml:space="preserve">
210707 +100.000</t>
        </r>
      </text>
    </comment>
    <comment ref="D369" authorId="2" shapeId="0">
      <text>
        <r>
          <rPr>
            <b/>
            <sz val="9"/>
            <color indexed="81"/>
            <rFont val="Tahoma"/>
            <family val="2"/>
            <charset val="238"/>
          </rPr>
          <t>Jana:</t>
        </r>
        <r>
          <rPr>
            <sz val="9"/>
            <color indexed="81"/>
            <rFont val="Tahoma"/>
            <family val="2"/>
            <charset val="238"/>
          </rPr>
          <t xml:space="preserve">
2105 ro37 +23.550
2111 ro121 -150.000</t>
        </r>
      </text>
    </comment>
    <comment ref="D373" authorId="1" shapeId="0">
      <text>
        <r>
          <rPr>
            <b/>
            <sz val="9"/>
            <color indexed="81"/>
            <rFont val="Tahoma"/>
            <family val="2"/>
            <charset val="238"/>
          </rPr>
          <t>Jana Holíková:</t>
        </r>
        <r>
          <rPr>
            <sz val="9"/>
            <color indexed="81"/>
            <rFont val="Tahoma"/>
            <family val="2"/>
            <charset val="238"/>
          </rPr>
          <t xml:space="preserve">
2109 ro85 +87.530
2111 ro121 -669.130</t>
        </r>
      </text>
    </comment>
    <comment ref="D374" authorId="2" shapeId="0">
      <text>
        <r>
          <rPr>
            <b/>
            <sz val="9"/>
            <color indexed="81"/>
            <rFont val="Tahoma"/>
            <family val="2"/>
            <charset val="238"/>
          </rPr>
          <t>Jana:</t>
        </r>
        <r>
          <rPr>
            <sz val="9"/>
            <color indexed="81"/>
            <rFont val="Tahoma"/>
            <family val="2"/>
            <charset val="238"/>
          </rPr>
          <t xml:space="preserve">
2105 ro37 +23.550
2111 ro121 -100.000
2112 ro131 -100.000</t>
        </r>
      </text>
    </comment>
    <comment ref="D375" authorId="1" shapeId="0">
      <text>
        <r>
          <rPr>
            <b/>
            <sz val="9"/>
            <color indexed="81"/>
            <rFont val="Tahoma"/>
            <family val="2"/>
            <charset val="238"/>
          </rPr>
          <t>Jana Holíková:</t>
        </r>
        <r>
          <rPr>
            <sz val="9"/>
            <color indexed="81"/>
            <rFont val="Tahoma"/>
            <family val="2"/>
            <charset val="238"/>
          </rPr>
          <t xml:space="preserve">
2112 ro135 -25.000</t>
        </r>
      </text>
    </comment>
    <comment ref="D377" authorId="2" shapeId="0">
      <text>
        <r>
          <rPr>
            <b/>
            <sz val="9"/>
            <color indexed="81"/>
            <rFont val="Tahoma"/>
            <family val="2"/>
            <charset val="238"/>
          </rPr>
          <t>Jana:</t>
        </r>
        <r>
          <rPr>
            <sz val="9"/>
            <color indexed="81"/>
            <rFont val="Tahoma"/>
            <family val="2"/>
            <charset val="238"/>
          </rPr>
          <t xml:space="preserve">
210604 +281,23</t>
        </r>
      </text>
    </comment>
    <comment ref="D378" authorId="1" shapeId="0">
      <text>
        <r>
          <rPr>
            <b/>
            <sz val="9"/>
            <color indexed="81"/>
            <rFont val="Tahoma"/>
            <family val="2"/>
            <charset val="238"/>
          </rPr>
          <t>Jana Holíková:</t>
        </r>
        <r>
          <rPr>
            <sz val="9"/>
            <color indexed="81"/>
            <rFont val="Tahoma"/>
            <family val="2"/>
            <charset val="238"/>
          </rPr>
          <t xml:space="preserve">
2107 ro69 +200.000
2111 ro121 -11.240</t>
        </r>
      </text>
    </comment>
    <comment ref="D379" authorId="2" shapeId="0">
      <text>
        <r>
          <rPr>
            <b/>
            <sz val="9"/>
            <color indexed="81"/>
            <rFont val="Tahoma"/>
            <family val="2"/>
            <charset val="238"/>
          </rPr>
          <t>Jana:</t>
        </r>
        <r>
          <rPr>
            <sz val="9"/>
            <color indexed="81"/>
            <rFont val="Tahoma"/>
            <family val="2"/>
            <charset val="238"/>
          </rPr>
          <t xml:space="preserve">
210604 -281,23</t>
        </r>
      </text>
    </comment>
    <comment ref="D386" authorId="2" shapeId="0">
      <text>
        <r>
          <rPr>
            <b/>
            <sz val="9"/>
            <color indexed="81"/>
            <rFont val="Tahoma"/>
            <family val="2"/>
            <charset val="238"/>
          </rPr>
          <t>Jana:</t>
        </r>
        <r>
          <rPr>
            <sz val="9"/>
            <color indexed="81"/>
            <rFont val="Tahoma"/>
            <family val="2"/>
            <charset val="238"/>
          </rPr>
          <t xml:space="preserve">
210606 -93.200
2109 ro51/2 -1.200.000</t>
        </r>
      </text>
    </comment>
    <comment ref="D387" authorId="2" shapeId="0">
      <text>
        <r>
          <rPr>
            <b/>
            <sz val="9"/>
            <color indexed="81"/>
            <rFont val="Tahoma"/>
            <family val="2"/>
            <charset val="238"/>
          </rPr>
          <t>Jana:</t>
        </r>
        <r>
          <rPr>
            <sz val="9"/>
            <color indexed="81"/>
            <rFont val="Tahoma"/>
            <family val="2"/>
            <charset val="238"/>
          </rPr>
          <t xml:space="preserve">
210606 +93.200
211210 +6.050</t>
        </r>
      </text>
    </comment>
    <comment ref="D388" authorId="1" shapeId="0">
      <text>
        <r>
          <rPr>
            <b/>
            <sz val="9"/>
            <color indexed="81"/>
            <rFont val="Tahoma"/>
            <family val="2"/>
            <charset val="238"/>
          </rPr>
          <t>Jana Holíková:</t>
        </r>
        <r>
          <rPr>
            <sz val="9"/>
            <color indexed="81"/>
            <rFont val="Tahoma"/>
            <family val="2"/>
            <charset val="238"/>
          </rPr>
          <t xml:space="preserve">
211210 -6.050</t>
        </r>
      </text>
    </comment>
    <comment ref="D390" authorId="2" shapeId="0">
      <text>
        <r>
          <rPr>
            <b/>
            <sz val="9"/>
            <color indexed="81"/>
            <rFont val="Tahoma"/>
            <family val="2"/>
            <charset val="238"/>
          </rPr>
          <t>Jana:</t>
        </r>
        <r>
          <rPr>
            <sz val="9"/>
            <color indexed="81"/>
            <rFont val="Tahoma"/>
            <family val="2"/>
            <charset val="238"/>
          </rPr>
          <t xml:space="preserve">
210408 +21.000</t>
        </r>
      </text>
    </comment>
    <comment ref="D391" authorId="2" shapeId="0">
      <text>
        <r>
          <rPr>
            <b/>
            <sz val="9"/>
            <color indexed="81"/>
            <rFont val="Tahoma"/>
            <family val="2"/>
            <charset val="238"/>
          </rPr>
          <t>Jana:</t>
        </r>
        <r>
          <rPr>
            <sz val="9"/>
            <color indexed="81"/>
            <rFont val="Tahoma"/>
            <family val="2"/>
            <charset val="238"/>
          </rPr>
          <t xml:space="preserve">
210404 -15.000
210408 -21.000</t>
        </r>
      </text>
    </comment>
    <comment ref="D393" authorId="2" shapeId="0">
      <text>
        <r>
          <rPr>
            <b/>
            <sz val="9"/>
            <color indexed="81"/>
            <rFont val="Tahoma"/>
            <family val="2"/>
            <charset val="238"/>
          </rPr>
          <t>Jana:</t>
        </r>
        <r>
          <rPr>
            <sz val="9"/>
            <color indexed="81"/>
            <rFont val="Tahoma"/>
            <family val="2"/>
            <charset val="238"/>
          </rPr>
          <t xml:space="preserve">
210404 +15.000</t>
        </r>
      </text>
    </comment>
    <comment ref="D396" authorId="1" shapeId="0">
      <text>
        <r>
          <rPr>
            <b/>
            <sz val="9"/>
            <color indexed="81"/>
            <rFont val="Tahoma"/>
            <charset val="1"/>
          </rPr>
          <t>Jana Holíková:</t>
        </r>
        <r>
          <rPr>
            <sz val="9"/>
            <color indexed="81"/>
            <rFont val="Tahoma"/>
            <charset val="1"/>
          </rPr>
          <t xml:space="preserve">
211008 -70.000</t>
        </r>
      </text>
    </comment>
    <comment ref="D397" authorId="1" shapeId="0">
      <text>
        <r>
          <rPr>
            <b/>
            <sz val="9"/>
            <color indexed="81"/>
            <rFont val="Tahoma"/>
            <family val="2"/>
            <charset val="238"/>
          </rPr>
          <t>Jana Holíková:</t>
        </r>
        <r>
          <rPr>
            <sz val="9"/>
            <color indexed="81"/>
            <rFont val="Tahoma"/>
            <family val="2"/>
            <charset val="238"/>
          </rPr>
          <t xml:space="preserve">
210807 +800.000
211008 +70.000</t>
        </r>
      </text>
    </comment>
    <comment ref="D398" authorId="1" shapeId="0">
      <text>
        <r>
          <rPr>
            <b/>
            <sz val="9"/>
            <color indexed="81"/>
            <rFont val="Tahoma"/>
            <family val="2"/>
            <charset val="238"/>
          </rPr>
          <t>Jana Holíková:</t>
        </r>
        <r>
          <rPr>
            <sz val="9"/>
            <color indexed="81"/>
            <rFont val="Tahoma"/>
            <family val="2"/>
            <charset val="238"/>
          </rPr>
          <t xml:space="preserve">
2110 ro103 +1.600.000</t>
        </r>
      </text>
    </comment>
    <comment ref="D399" authorId="1" shapeId="0">
      <text>
        <r>
          <rPr>
            <b/>
            <sz val="9"/>
            <color indexed="81"/>
            <rFont val="Tahoma"/>
            <family val="2"/>
            <charset val="238"/>
          </rPr>
          <t>Jana Holíková:</t>
        </r>
        <r>
          <rPr>
            <sz val="9"/>
            <color indexed="81"/>
            <rFont val="Tahoma"/>
            <family val="2"/>
            <charset val="238"/>
          </rPr>
          <t xml:space="preserve">
211111 +251.000</t>
        </r>
      </text>
    </comment>
    <comment ref="D400" authorId="1" shapeId="0">
      <text>
        <r>
          <rPr>
            <b/>
            <sz val="9"/>
            <color indexed="81"/>
            <rFont val="Tahoma"/>
            <family val="2"/>
            <charset val="238"/>
          </rPr>
          <t>Jana Holíková:</t>
        </r>
        <r>
          <rPr>
            <sz val="9"/>
            <color indexed="81"/>
            <rFont val="Tahoma"/>
            <family val="2"/>
            <charset val="238"/>
          </rPr>
          <t xml:space="preserve">
210807 -800.000
211111 -251.000
211204 -40.000</t>
        </r>
      </text>
    </comment>
    <comment ref="D401" authorId="1" shapeId="0">
      <text>
        <r>
          <rPr>
            <b/>
            <sz val="9"/>
            <color indexed="81"/>
            <rFont val="Tahoma"/>
            <family val="2"/>
            <charset val="238"/>
          </rPr>
          <t>Jana Holíková:</t>
        </r>
        <r>
          <rPr>
            <sz val="9"/>
            <color indexed="81"/>
            <rFont val="Tahoma"/>
            <family val="2"/>
            <charset val="238"/>
          </rPr>
          <t xml:space="preserve">
2110 ro103 -400.000</t>
        </r>
      </text>
    </comment>
    <comment ref="D405" authorId="1" shapeId="0">
      <text>
        <r>
          <rPr>
            <b/>
            <sz val="9"/>
            <color indexed="81"/>
            <rFont val="Tahoma"/>
            <family val="2"/>
            <charset val="238"/>
          </rPr>
          <t>Jana Holíková:</t>
        </r>
        <r>
          <rPr>
            <sz val="9"/>
            <color indexed="81"/>
            <rFont val="Tahoma"/>
            <family val="2"/>
            <charset val="238"/>
          </rPr>
          <t xml:space="preserve">
2103 ro11 -170.000</t>
        </r>
      </text>
    </comment>
    <comment ref="D406" authorId="1" shapeId="0">
      <text>
        <r>
          <rPr>
            <b/>
            <sz val="9"/>
            <color indexed="81"/>
            <rFont val="Tahoma"/>
            <family val="2"/>
            <charset val="238"/>
          </rPr>
          <t>Jana Holíková:</t>
        </r>
        <r>
          <rPr>
            <sz val="9"/>
            <color indexed="81"/>
            <rFont val="Tahoma"/>
            <family val="2"/>
            <charset val="238"/>
          </rPr>
          <t xml:space="preserve">
211204 +40.000</t>
        </r>
      </text>
    </comment>
    <comment ref="D413" authorId="1" shapeId="0">
      <text>
        <r>
          <rPr>
            <b/>
            <sz val="9"/>
            <color indexed="81"/>
            <rFont val="Tahoma"/>
            <family val="2"/>
            <charset val="238"/>
          </rPr>
          <t>Jana Holíková:</t>
        </r>
        <r>
          <rPr>
            <sz val="9"/>
            <color indexed="81"/>
            <rFont val="Tahoma"/>
            <family val="2"/>
            <charset val="238"/>
          </rPr>
          <t xml:space="preserve">
210202 -82.280</t>
        </r>
      </text>
    </comment>
    <comment ref="D414" authorId="2" shapeId="0">
      <text>
        <r>
          <rPr>
            <b/>
            <sz val="9"/>
            <color indexed="81"/>
            <rFont val="Tahoma"/>
            <family val="2"/>
            <charset val="238"/>
          </rPr>
          <t>Jana:</t>
        </r>
        <r>
          <rPr>
            <sz val="9"/>
            <color indexed="81"/>
            <rFont val="Tahoma"/>
            <family val="2"/>
            <charset val="238"/>
          </rPr>
          <t xml:space="preserve">
210607 -450.000
2110 ro103 -1.200.000</t>
        </r>
      </text>
    </comment>
    <comment ref="D415" authorId="1" shapeId="0">
      <text>
        <r>
          <rPr>
            <b/>
            <sz val="9"/>
            <color indexed="81"/>
            <rFont val="Tahoma"/>
            <family val="2"/>
            <charset val="238"/>
          </rPr>
          <t>Jana Holíková:</t>
        </r>
        <r>
          <rPr>
            <sz val="9"/>
            <color indexed="81"/>
            <rFont val="Tahoma"/>
            <family val="2"/>
            <charset val="238"/>
          </rPr>
          <t xml:space="preserve">
211211 -200.000</t>
        </r>
      </text>
    </comment>
    <comment ref="D417" authorId="1" shapeId="0">
      <text>
        <r>
          <rPr>
            <b/>
            <sz val="9"/>
            <color indexed="81"/>
            <rFont val="Tahoma"/>
            <family val="2"/>
            <charset val="238"/>
          </rPr>
          <t>Jana Holíková:</t>
        </r>
        <r>
          <rPr>
            <sz val="9"/>
            <color indexed="81"/>
            <rFont val="Tahoma"/>
            <family val="2"/>
            <charset val="238"/>
          </rPr>
          <t xml:space="preserve">
2103 ro11 -160.500</t>
        </r>
      </text>
    </comment>
    <comment ref="D418" authorId="1" shapeId="0">
      <text>
        <r>
          <rPr>
            <b/>
            <sz val="9"/>
            <color indexed="81"/>
            <rFont val="Tahoma"/>
            <family val="2"/>
            <charset val="238"/>
          </rPr>
          <t>Jana Holíková:</t>
        </r>
        <r>
          <rPr>
            <sz val="9"/>
            <color indexed="81"/>
            <rFont val="Tahoma"/>
            <family val="2"/>
            <charset val="238"/>
          </rPr>
          <t xml:space="preserve">
210303 -215.890
210304 -162.803
210702 +900.000</t>
        </r>
      </text>
    </comment>
    <comment ref="D419" authorId="1" shapeId="0">
      <text>
        <r>
          <rPr>
            <b/>
            <sz val="9"/>
            <color indexed="81"/>
            <rFont val="Tahoma"/>
            <family val="2"/>
            <charset val="238"/>
          </rPr>
          <t>Jana Holíková:</t>
        </r>
        <r>
          <rPr>
            <sz val="9"/>
            <color indexed="81"/>
            <rFont val="Tahoma"/>
            <family val="2"/>
            <charset val="238"/>
          </rPr>
          <t xml:space="preserve">
211211 +1.087.000</t>
        </r>
      </text>
    </comment>
    <comment ref="D420" authorId="1" shapeId="0">
      <text>
        <r>
          <rPr>
            <b/>
            <sz val="9"/>
            <color indexed="81"/>
            <rFont val="Tahoma"/>
            <family val="2"/>
            <charset val="238"/>
          </rPr>
          <t>Jana Holíková:</t>
        </r>
        <r>
          <rPr>
            <sz val="9"/>
            <color indexed="81"/>
            <rFont val="Tahoma"/>
            <family val="2"/>
            <charset val="238"/>
          </rPr>
          <t xml:space="preserve">
210304 +162.803
2107 ro62 +-186.960</t>
        </r>
      </text>
    </comment>
    <comment ref="D425" authorId="2" shapeId="0">
      <text>
        <r>
          <rPr>
            <b/>
            <sz val="9"/>
            <color indexed="81"/>
            <rFont val="Tahoma"/>
            <family val="2"/>
            <charset val="238"/>
          </rPr>
          <t>Jana:</t>
        </r>
        <r>
          <rPr>
            <sz val="9"/>
            <color indexed="81"/>
            <rFont val="Tahoma"/>
            <family val="2"/>
            <charset val="238"/>
          </rPr>
          <t xml:space="preserve">
210607 +450.000</t>
        </r>
      </text>
    </comment>
    <comment ref="D426" authorId="1" shapeId="0">
      <text>
        <r>
          <rPr>
            <b/>
            <sz val="9"/>
            <color indexed="81"/>
            <rFont val="Tahoma"/>
            <family val="2"/>
            <charset val="238"/>
          </rPr>
          <t>Jana Holíková:</t>
        </r>
        <r>
          <rPr>
            <sz val="9"/>
            <color indexed="81"/>
            <rFont val="Tahoma"/>
            <family val="2"/>
            <charset val="238"/>
          </rPr>
          <t xml:space="preserve">
210303 +80.396</t>
        </r>
      </text>
    </comment>
    <comment ref="D430" authorId="1" shapeId="0">
      <text>
        <r>
          <rPr>
            <b/>
            <sz val="9"/>
            <color indexed="81"/>
            <rFont val="Tahoma"/>
            <family val="2"/>
            <charset val="238"/>
          </rPr>
          <t>Jana Holíková:</t>
        </r>
        <r>
          <rPr>
            <sz val="9"/>
            <color indexed="81"/>
            <rFont val="Tahoma"/>
            <family val="2"/>
            <charset val="238"/>
          </rPr>
          <t xml:space="preserve">
210303 +95.430</t>
        </r>
      </text>
    </comment>
    <comment ref="D432" authorId="1" shapeId="0">
      <text>
        <r>
          <rPr>
            <b/>
            <sz val="9"/>
            <color indexed="81"/>
            <rFont val="Tahoma"/>
            <family val="2"/>
            <charset val="238"/>
          </rPr>
          <t>Jana Holíková:</t>
        </r>
        <r>
          <rPr>
            <sz val="9"/>
            <color indexed="81"/>
            <rFont val="Tahoma"/>
            <family val="2"/>
            <charset val="238"/>
          </rPr>
          <t xml:space="preserve">
210303 +32.035</t>
        </r>
      </text>
    </comment>
    <comment ref="D433" authorId="1" shapeId="0">
      <text>
        <r>
          <rPr>
            <b/>
            <sz val="9"/>
            <color indexed="81"/>
            <rFont val="Tahoma"/>
            <family val="2"/>
            <charset val="238"/>
          </rPr>
          <t>Jana Holíková:</t>
        </r>
        <r>
          <rPr>
            <sz val="9"/>
            <color indexed="81"/>
            <rFont val="Tahoma"/>
            <family val="2"/>
            <charset val="238"/>
          </rPr>
          <t xml:space="preserve">
210702 -900.000
211211 -300.000</t>
        </r>
      </text>
    </comment>
    <comment ref="D434" authorId="1" shapeId="0">
      <text>
        <r>
          <rPr>
            <b/>
            <sz val="9"/>
            <color indexed="81"/>
            <rFont val="Tahoma"/>
            <family val="2"/>
            <charset val="238"/>
          </rPr>
          <t>Jana Holíková:</t>
        </r>
        <r>
          <rPr>
            <sz val="9"/>
            <color indexed="81"/>
            <rFont val="Tahoma"/>
            <family val="2"/>
            <charset val="238"/>
          </rPr>
          <t xml:space="preserve">
210303 +8.029</t>
        </r>
      </text>
    </comment>
    <comment ref="D435" authorId="1" shapeId="0">
      <text>
        <r>
          <rPr>
            <b/>
            <sz val="9"/>
            <color indexed="81"/>
            <rFont val="Tahoma"/>
            <family val="2"/>
            <charset val="238"/>
          </rPr>
          <t>Jana Holíková:</t>
        </r>
        <r>
          <rPr>
            <sz val="9"/>
            <color indexed="81"/>
            <rFont val="Tahoma"/>
            <family val="2"/>
            <charset val="238"/>
          </rPr>
          <t xml:space="preserve">
2103 ro11 -100.000</t>
        </r>
      </text>
    </comment>
    <comment ref="D436" authorId="1" shapeId="0">
      <text>
        <r>
          <rPr>
            <b/>
            <sz val="9"/>
            <color indexed="81"/>
            <rFont val="Tahoma"/>
            <family val="2"/>
            <charset val="238"/>
          </rPr>
          <t>Jana Holíková:</t>
        </r>
        <r>
          <rPr>
            <sz val="9"/>
            <color indexed="81"/>
            <rFont val="Tahoma"/>
            <family val="2"/>
            <charset val="238"/>
          </rPr>
          <t xml:space="preserve">
211211 -100.000</t>
        </r>
      </text>
    </comment>
    <comment ref="D437" authorId="1" shapeId="0">
      <text>
        <r>
          <rPr>
            <b/>
            <sz val="9"/>
            <color indexed="81"/>
            <rFont val="Tahoma"/>
            <family val="2"/>
            <charset val="238"/>
          </rPr>
          <t>Jana Holíková:</t>
        </r>
        <r>
          <rPr>
            <sz val="9"/>
            <color indexed="81"/>
            <rFont val="Tahoma"/>
            <family val="2"/>
            <charset val="238"/>
          </rPr>
          <t xml:space="preserve">
210202 +82.280</t>
        </r>
      </text>
    </comment>
    <comment ref="D439" authorId="1" shapeId="0">
      <text>
        <r>
          <rPr>
            <b/>
            <sz val="9"/>
            <color indexed="81"/>
            <rFont val="Tahoma"/>
            <family val="2"/>
            <charset val="238"/>
          </rPr>
          <t>Jana Holíková:</t>
        </r>
        <r>
          <rPr>
            <sz val="9"/>
            <color indexed="81"/>
            <rFont val="Tahoma"/>
            <family val="2"/>
            <charset val="238"/>
          </rPr>
          <t xml:space="preserve">
2107 ro63 +-320.000 úz611
211211 -487.000</t>
        </r>
      </text>
    </comment>
    <comment ref="D447" authorId="1" shapeId="0">
      <text>
        <r>
          <rPr>
            <b/>
            <sz val="9"/>
            <color indexed="81"/>
            <rFont val="Tahoma"/>
            <family val="2"/>
            <charset val="238"/>
          </rPr>
          <t>Jana Holíková:</t>
        </r>
        <r>
          <rPr>
            <sz val="9"/>
            <color indexed="81"/>
            <rFont val="Tahoma"/>
            <family val="2"/>
            <charset val="238"/>
          </rPr>
          <t xml:space="preserve">
211212 +1.000</t>
        </r>
      </text>
    </comment>
    <comment ref="D449" authorId="1" shapeId="0">
      <text>
        <r>
          <rPr>
            <b/>
            <sz val="9"/>
            <color indexed="81"/>
            <rFont val="Tahoma"/>
            <family val="2"/>
            <charset val="238"/>
          </rPr>
          <t>Jana Holíková:</t>
        </r>
        <r>
          <rPr>
            <sz val="9"/>
            <color indexed="81"/>
            <rFont val="Tahoma"/>
            <family val="2"/>
            <charset val="238"/>
          </rPr>
          <t xml:space="preserve">
211212 -43.000</t>
        </r>
      </text>
    </comment>
    <comment ref="D450" authorId="1" shapeId="0">
      <text>
        <r>
          <rPr>
            <b/>
            <sz val="9"/>
            <color indexed="81"/>
            <rFont val="Tahoma"/>
            <family val="2"/>
            <charset val="238"/>
          </rPr>
          <t>Jana Holíková:</t>
        </r>
        <r>
          <rPr>
            <sz val="9"/>
            <color indexed="81"/>
            <rFont val="Tahoma"/>
            <family val="2"/>
            <charset val="238"/>
          </rPr>
          <t xml:space="preserve">
2103 ro11 -700.000
2109 ro51/2 -1.500.000</t>
        </r>
      </text>
    </comment>
    <comment ref="D451" authorId="1" shapeId="0">
      <text>
        <r>
          <rPr>
            <b/>
            <sz val="9"/>
            <color indexed="81"/>
            <rFont val="Tahoma"/>
            <family val="2"/>
            <charset val="238"/>
          </rPr>
          <t>Jana Holíková:</t>
        </r>
        <r>
          <rPr>
            <sz val="9"/>
            <color indexed="81"/>
            <rFont val="Tahoma"/>
            <family val="2"/>
            <charset val="238"/>
          </rPr>
          <t xml:space="preserve">
211212 +42.000</t>
        </r>
      </text>
    </comment>
    <comment ref="D455" authorId="1" shapeId="0">
      <text>
        <r>
          <rPr>
            <b/>
            <sz val="9"/>
            <color indexed="81"/>
            <rFont val="Tahoma"/>
            <family val="2"/>
            <charset val="238"/>
          </rPr>
          <t>Jana Holíková:</t>
        </r>
        <r>
          <rPr>
            <sz val="9"/>
            <color indexed="81"/>
            <rFont val="Tahoma"/>
            <family val="2"/>
            <charset val="238"/>
          </rPr>
          <t xml:space="preserve">
2109 ro51/2 -1.854.000</t>
        </r>
      </text>
    </comment>
    <comment ref="D459" authorId="2" shapeId="0">
      <text>
        <r>
          <rPr>
            <b/>
            <sz val="9"/>
            <color indexed="81"/>
            <rFont val="Tahoma"/>
            <family val="2"/>
            <charset val="238"/>
          </rPr>
          <t>Jana:</t>
        </r>
        <r>
          <rPr>
            <sz val="9"/>
            <color indexed="81"/>
            <rFont val="Tahoma"/>
            <family val="2"/>
            <charset val="238"/>
          </rPr>
          <t xml:space="preserve">
2105 ro48 -6.000.000</t>
        </r>
      </text>
    </comment>
    <comment ref="D461" authorId="1" shapeId="0">
      <text>
        <r>
          <rPr>
            <b/>
            <sz val="9"/>
            <color indexed="81"/>
            <rFont val="Tahoma"/>
            <family val="2"/>
            <charset val="238"/>
          </rPr>
          <t>Jana Holíková:</t>
        </r>
        <r>
          <rPr>
            <sz val="9"/>
            <color indexed="81"/>
            <rFont val="Tahoma"/>
            <family val="2"/>
            <charset val="238"/>
          </rPr>
          <t xml:space="preserve">
2103 ro11 -1.000.000
2109 ro91 +-2.000.000
2111 ro91 revokace
-2.000.000</t>
        </r>
      </text>
    </comment>
    <comment ref="D462" authorId="2" shapeId="0">
      <text>
        <r>
          <rPr>
            <b/>
            <sz val="9"/>
            <color indexed="81"/>
            <rFont val="Tahoma"/>
            <family val="2"/>
            <charset val="238"/>
          </rPr>
          <t>Jana:</t>
        </r>
        <r>
          <rPr>
            <sz val="9"/>
            <color indexed="81"/>
            <rFont val="Tahoma"/>
            <family val="2"/>
            <charset val="238"/>
          </rPr>
          <t xml:space="preserve">
210403 -60.000</t>
        </r>
      </text>
    </comment>
    <comment ref="D466" authorId="2" shapeId="0">
      <text>
        <r>
          <rPr>
            <b/>
            <sz val="9"/>
            <color indexed="81"/>
            <rFont val="Tahoma"/>
            <family val="2"/>
            <charset val="238"/>
          </rPr>
          <t>Jana:</t>
        </r>
        <r>
          <rPr>
            <sz val="9"/>
            <color indexed="81"/>
            <rFont val="Tahoma"/>
            <family val="2"/>
            <charset val="238"/>
          </rPr>
          <t xml:space="preserve">
210403 +60.000</t>
        </r>
      </text>
    </comment>
    <comment ref="D468" authorId="1" shapeId="0">
      <text>
        <r>
          <rPr>
            <b/>
            <sz val="9"/>
            <color indexed="81"/>
            <rFont val="Tahoma"/>
            <family val="2"/>
            <charset val="238"/>
          </rPr>
          <t>Jana Holíková:</t>
        </r>
        <r>
          <rPr>
            <sz val="9"/>
            <color indexed="81"/>
            <rFont val="Tahoma"/>
            <family val="2"/>
            <charset val="238"/>
          </rPr>
          <t xml:space="preserve">
211205 -1.500.000</t>
        </r>
      </text>
    </comment>
    <comment ref="D469" authorId="2" shapeId="0">
      <text>
        <r>
          <rPr>
            <b/>
            <sz val="9"/>
            <color indexed="81"/>
            <rFont val="Tahoma"/>
            <family val="2"/>
            <charset val="238"/>
          </rPr>
          <t>Jana:</t>
        </r>
        <r>
          <rPr>
            <sz val="9"/>
            <color indexed="81"/>
            <rFont val="Tahoma"/>
            <family val="2"/>
            <charset val="238"/>
          </rPr>
          <t xml:space="preserve">
2105 ro41 -8.000.000
2109 ro51/2 -18.000.000
211205 +1.500.000
2112 ro51/3 +1.000.000</t>
        </r>
      </text>
    </comment>
    <comment ref="D471" authorId="2" shapeId="0">
      <text>
        <r>
          <rPr>
            <b/>
            <sz val="9"/>
            <color indexed="81"/>
            <rFont val="Tahoma"/>
            <family val="2"/>
            <charset val="238"/>
          </rPr>
          <t>Jana:</t>
        </r>
        <r>
          <rPr>
            <sz val="9"/>
            <color indexed="81"/>
            <rFont val="Tahoma"/>
            <family val="2"/>
            <charset val="238"/>
          </rPr>
          <t xml:space="preserve">
2106 ro52 -150.000</t>
        </r>
      </text>
    </comment>
    <comment ref="D472" authorId="2" shapeId="0">
      <text>
        <r>
          <rPr>
            <b/>
            <sz val="9"/>
            <color indexed="81"/>
            <rFont val="Tahoma"/>
            <family val="2"/>
            <charset val="238"/>
          </rPr>
          <t>Jana:</t>
        </r>
        <r>
          <rPr>
            <sz val="9"/>
            <color indexed="81"/>
            <rFont val="Tahoma"/>
            <family val="2"/>
            <charset val="238"/>
          </rPr>
          <t xml:space="preserve">
2106 ro52 -150.000</t>
        </r>
      </text>
    </comment>
    <comment ref="D476" authorId="1" shapeId="0">
      <text>
        <r>
          <rPr>
            <b/>
            <sz val="9"/>
            <color indexed="81"/>
            <rFont val="Tahoma"/>
            <family val="2"/>
            <charset val="238"/>
          </rPr>
          <t>Jana Holíková:</t>
        </r>
        <r>
          <rPr>
            <sz val="9"/>
            <color indexed="81"/>
            <rFont val="Tahoma"/>
            <family val="2"/>
            <charset val="238"/>
          </rPr>
          <t xml:space="preserve">
2103 ro18 -810.000
2103 ro25 +2.000.000</t>
        </r>
      </text>
    </comment>
    <comment ref="D477" authorId="1" shapeId="0">
      <text>
        <r>
          <rPr>
            <b/>
            <sz val="9"/>
            <color indexed="81"/>
            <rFont val="Tahoma"/>
            <family val="2"/>
            <charset val="238"/>
          </rPr>
          <t>Jana Holíková:</t>
        </r>
        <r>
          <rPr>
            <sz val="9"/>
            <color indexed="81"/>
            <rFont val="Tahoma"/>
            <family val="2"/>
            <charset val="238"/>
          </rPr>
          <t xml:space="preserve">
2103 ro18 -2.095.129</t>
        </r>
      </text>
    </comment>
    <comment ref="D478" authorId="1" shapeId="0">
      <text>
        <r>
          <rPr>
            <b/>
            <sz val="9"/>
            <color indexed="81"/>
            <rFont val="Tahoma"/>
            <family val="2"/>
            <charset val="238"/>
          </rPr>
          <t>Jana Holíková:</t>
        </r>
        <r>
          <rPr>
            <sz val="9"/>
            <color indexed="81"/>
            <rFont val="Tahoma"/>
            <family val="2"/>
            <charset val="238"/>
          </rPr>
          <t xml:space="preserve">
2103 ro18 -20.000</t>
        </r>
      </text>
    </comment>
    <comment ref="D481" authorId="1" shapeId="0">
      <text>
        <r>
          <rPr>
            <b/>
            <sz val="9"/>
            <color indexed="81"/>
            <rFont val="Tahoma"/>
            <family val="2"/>
            <charset val="238"/>
          </rPr>
          <t>Jana Holíková:</t>
        </r>
        <r>
          <rPr>
            <sz val="9"/>
            <color indexed="81"/>
            <rFont val="Tahoma"/>
            <family val="2"/>
            <charset val="238"/>
          </rPr>
          <t xml:space="preserve">
2108 ro81 -23.327</t>
        </r>
      </text>
    </comment>
    <comment ref="D482" authorId="2" shapeId="0">
      <text>
        <r>
          <rPr>
            <b/>
            <sz val="9"/>
            <color indexed="81"/>
            <rFont val="Tahoma"/>
            <family val="2"/>
            <charset val="238"/>
          </rPr>
          <t>Jana:</t>
        </r>
        <r>
          <rPr>
            <sz val="9"/>
            <color indexed="81"/>
            <rFont val="Tahoma"/>
            <family val="2"/>
            <charset val="238"/>
          </rPr>
          <t xml:space="preserve">
2104 ro36 +100.000
2108 ro81 -1.232.877</t>
        </r>
      </text>
    </comment>
    <comment ref="D483" authorId="1" shapeId="0">
      <text>
        <r>
          <rPr>
            <b/>
            <sz val="9"/>
            <color indexed="81"/>
            <rFont val="Tahoma"/>
            <family val="2"/>
            <charset val="238"/>
          </rPr>
          <t>Jana Holíková:</t>
        </r>
        <r>
          <rPr>
            <sz val="9"/>
            <color indexed="81"/>
            <rFont val="Tahoma"/>
            <family val="2"/>
            <charset val="238"/>
          </rPr>
          <t xml:space="preserve">
2108 ro81 -20.000</t>
        </r>
      </text>
    </comment>
    <comment ref="D484" authorId="1" shapeId="0">
      <text>
        <r>
          <rPr>
            <b/>
            <sz val="9"/>
            <color indexed="81"/>
            <rFont val="Tahoma"/>
            <family val="2"/>
            <charset val="238"/>
          </rPr>
          <t>Jana Holíková:</t>
        </r>
        <r>
          <rPr>
            <sz val="9"/>
            <color indexed="81"/>
            <rFont val="Tahoma"/>
            <family val="2"/>
            <charset val="238"/>
          </rPr>
          <t xml:space="preserve">
2108 ro81 -125.000</t>
        </r>
      </text>
    </comment>
    <comment ref="D488" authorId="1" shapeId="0">
      <text>
        <r>
          <rPr>
            <b/>
            <sz val="9"/>
            <color indexed="81"/>
            <rFont val="Tahoma"/>
            <family val="2"/>
            <charset val="238"/>
          </rPr>
          <t>Jana Holíková:</t>
        </r>
        <r>
          <rPr>
            <sz val="9"/>
            <color indexed="81"/>
            <rFont val="Tahoma"/>
            <family val="2"/>
            <charset val="238"/>
          </rPr>
          <t xml:space="preserve">
2108 ro81 
-6.000 -16.000 -4.000</t>
        </r>
      </text>
    </comment>
    <comment ref="D491" authorId="1" shapeId="0">
      <text>
        <r>
          <rPr>
            <b/>
            <sz val="9"/>
            <color indexed="81"/>
            <rFont val="Tahoma"/>
            <family val="2"/>
            <charset val="238"/>
          </rPr>
          <t>Jana Holíková:</t>
        </r>
        <r>
          <rPr>
            <sz val="9"/>
            <color indexed="81"/>
            <rFont val="Tahoma"/>
            <family val="2"/>
            <charset val="238"/>
          </rPr>
          <t xml:space="preserve">
2108 ro81 -59.000
2108 ro51/1 +118.000
210803 -60.000</t>
        </r>
      </text>
    </comment>
    <comment ref="D492" authorId="1" shapeId="0">
      <text>
        <r>
          <rPr>
            <b/>
            <sz val="9"/>
            <color indexed="81"/>
            <rFont val="Tahoma"/>
            <family val="2"/>
            <charset val="238"/>
          </rPr>
          <t>Jana Holíková:</t>
        </r>
        <r>
          <rPr>
            <sz val="9"/>
            <color indexed="81"/>
            <rFont val="Tahoma"/>
            <family val="2"/>
            <charset val="238"/>
          </rPr>
          <t xml:space="preserve">
2108 ro81 -55.360</t>
        </r>
      </text>
    </comment>
    <comment ref="D493" authorId="1" shapeId="0">
      <text>
        <r>
          <rPr>
            <b/>
            <sz val="9"/>
            <color indexed="81"/>
            <rFont val="Tahoma"/>
            <family val="2"/>
            <charset val="238"/>
          </rPr>
          <t>Jana Holíková:</t>
        </r>
        <r>
          <rPr>
            <sz val="9"/>
            <color indexed="81"/>
            <rFont val="Tahoma"/>
            <family val="2"/>
            <charset val="238"/>
          </rPr>
          <t xml:space="preserve">
210803 +60.000</t>
        </r>
      </text>
    </comment>
    <comment ref="D494" authorId="1" shapeId="0">
      <text>
        <r>
          <rPr>
            <b/>
            <sz val="9"/>
            <color indexed="81"/>
            <rFont val="Tahoma"/>
            <family val="2"/>
            <charset val="238"/>
          </rPr>
          <t>Jana Holíková:</t>
        </r>
        <r>
          <rPr>
            <sz val="9"/>
            <color indexed="81"/>
            <rFont val="Tahoma"/>
            <family val="2"/>
            <charset val="238"/>
          </rPr>
          <t xml:space="preserve">
2103 ro11 -150.000
2108 ro81 -138.399</t>
        </r>
      </text>
    </comment>
    <comment ref="D501" authorId="1" shapeId="0">
      <text>
        <r>
          <rPr>
            <b/>
            <sz val="9"/>
            <color indexed="81"/>
            <rFont val="Tahoma"/>
            <family val="2"/>
            <charset val="238"/>
          </rPr>
          <t>Jana Holíková:</t>
        </r>
        <r>
          <rPr>
            <sz val="9"/>
            <color indexed="81"/>
            <rFont val="Tahoma"/>
            <family val="2"/>
            <charset val="238"/>
          </rPr>
          <t xml:space="preserve">
2109 ro87 
+702.000 úz98071
-499.000 bez úz
2112 ro51/3 +698.024,75 -659.315,10 -1.000</t>
        </r>
      </text>
    </comment>
    <comment ref="D511" authorId="1" shapeId="0">
      <text>
        <r>
          <rPr>
            <b/>
            <sz val="9"/>
            <color indexed="81"/>
            <rFont val="Tahoma"/>
            <family val="2"/>
            <charset val="238"/>
          </rPr>
          <t>Jana Holíková:</t>
        </r>
        <r>
          <rPr>
            <sz val="9"/>
            <color indexed="81"/>
            <rFont val="Tahoma"/>
            <family val="2"/>
            <charset val="238"/>
          </rPr>
          <t xml:space="preserve">
2103 ro11 -60.000
2110 ro98 +211.024 +42.686 +35.680</t>
        </r>
      </text>
    </comment>
    <comment ref="D512" authorId="1" shapeId="0">
      <text>
        <r>
          <rPr>
            <b/>
            <sz val="9"/>
            <color indexed="81"/>
            <rFont val="Tahoma"/>
            <family val="2"/>
            <charset val="238"/>
          </rPr>
          <t>Jana Holíková:</t>
        </r>
        <r>
          <rPr>
            <sz val="9"/>
            <color indexed="81"/>
            <rFont val="Tahoma"/>
            <family val="2"/>
            <charset val="238"/>
          </rPr>
          <t xml:space="preserve">
2110 ro95 +250.502,77
2111 ro119 -50.959,71
</t>
        </r>
      </text>
    </comment>
    <comment ref="D513" authorId="2" shapeId="0">
      <text>
        <r>
          <rPr>
            <b/>
            <sz val="9"/>
            <color indexed="81"/>
            <rFont val="Tahoma"/>
            <family val="2"/>
            <charset val="238"/>
          </rPr>
          <t>Jana:</t>
        </r>
        <r>
          <rPr>
            <sz val="9"/>
            <color indexed="81"/>
            <rFont val="Tahoma"/>
            <family val="2"/>
            <charset val="238"/>
          </rPr>
          <t xml:space="preserve">
2104 ro38 -1.000.000
2110 ro98 
-211.024 +-27.820 -250.502,77 -42.686 -35.680 -1.129.135,83</t>
        </r>
      </text>
    </comment>
    <comment ref="D516" authorId="1" shapeId="0">
      <text>
        <r>
          <rPr>
            <b/>
            <sz val="9"/>
            <color indexed="81"/>
            <rFont val="Tahoma"/>
            <family val="2"/>
            <charset val="238"/>
          </rPr>
          <t>Jana Holíková:</t>
        </r>
        <r>
          <rPr>
            <sz val="9"/>
            <color indexed="81"/>
            <rFont val="Tahoma"/>
            <family val="2"/>
            <charset val="238"/>
          </rPr>
          <t xml:space="preserve">
2102 ro7 +35.940
2103 ro11 -140.000</t>
        </r>
      </text>
    </comment>
    <comment ref="D517" authorId="1" shapeId="0">
      <text>
        <r>
          <rPr>
            <b/>
            <sz val="9"/>
            <color indexed="81"/>
            <rFont val="Tahoma"/>
            <family val="2"/>
            <charset val="238"/>
          </rPr>
          <t>Jana Holíková:</t>
        </r>
        <r>
          <rPr>
            <sz val="9"/>
            <color indexed="81"/>
            <rFont val="Tahoma"/>
            <family val="2"/>
            <charset val="238"/>
          </rPr>
          <t xml:space="preserve">
2112 ro126 +65.135,92</t>
        </r>
      </text>
    </comment>
    <comment ref="D520" authorId="1" shapeId="0">
      <text>
        <r>
          <rPr>
            <b/>
            <sz val="9"/>
            <color indexed="81"/>
            <rFont val="Tahoma"/>
            <family val="2"/>
            <charset val="238"/>
          </rPr>
          <t>Jana Holíková:</t>
        </r>
        <r>
          <rPr>
            <sz val="9"/>
            <color indexed="81"/>
            <rFont val="Tahoma"/>
            <family val="2"/>
            <charset val="238"/>
          </rPr>
          <t xml:space="preserve">
2102 ro3 úz33063
+ 70.381,36 1031
+398.827,64 1035
2102 ro7 +27.775</t>
        </r>
      </text>
    </comment>
    <comment ref="D521" authorId="1" shapeId="0">
      <text>
        <r>
          <rPr>
            <b/>
            <sz val="9"/>
            <color indexed="81"/>
            <rFont val="Tahoma"/>
            <family val="2"/>
            <charset val="238"/>
          </rPr>
          <t>Jana Holíková:</t>
        </r>
        <r>
          <rPr>
            <sz val="9"/>
            <color indexed="81"/>
            <rFont val="Tahoma"/>
            <family val="2"/>
            <charset val="238"/>
          </rPr>
          <t xml:space="preserve">
2110 ro99 +117.865
2111 ro119 +18.509,29</t>
        </r>
      </text>
    </comment>
    <comment ref="D522" authorId="1" shapeId="0">
      <text>
        <r>
          <rPr>
            <b/>
            <sz val="9"/>
            <color indexed="81"/>
            <rFont val="Tahoma"/>
            <family val="2"/>
            <charset val="238"/>
          </rPr>
          <t>Jana Holíková:</t>
        </r>
        <r>
          <rPr>
            <sz val="9"/>
            <color indexed="81"/>
            <rFont val="Tahoma"/>
            <family val="2"/>
            <charset val="238"/>
          </rPr>
          <t xml:space="preserve">
2110 ro99 
-117.865 -411.753,45</t>
        </r>
      </text>
    </comment>
    <comment ref="D525" authorId="1" shapeId="0">
      <text>
        <r>
          <rPr>
            <b/>
            <sz val="9"/>
            <color indexed="81"/>
            <rFont val="Tahoma"/>
            <family val="2"/>
            <charset val="238"/>
          </rPr>
          <t>Jana Holíková:</t>
        </r>
        <r>
          <rPr>
            <sz val="9"/>
            <color indexed="81"/>
            <rFont val="Tahoma"/>
            <family val="2"/>
            <charset val="238"/>
          </rPr>
          <t xml:space="preserve">
2111 ro116 -39.930 r
2111 ro118 -174.549,84 r
2111 ro119 -18.509,29 r
2112 ro126 -65.135,92 r
2112 ro127 -25.838 r</t>
        </r>
      </text>
    </comment>
    <comment ref="D531" authorId="1" shapeId="0">
      <text>
        <r>
          <rPr>
            <b/>
            <sz val="9"/>
            <color indexed="81"/>
            <rFont val="Tahoma"/>
            <family val="2"/>
            <charset val="238"/>
          </rPr>
          <t>Jana Holíková:</t>
        </r>
        <r>
          <rPr>
            <sz val="9"/>
            <color indexed="81"/>
            <rFont val="Tahoma"/>
            <family val="2"/>
            <charset val="238"/>
          </rPr>
          <t xml:space="preserve">
2102 ro6 +7.932
2103 ro11 -300.000
2107 ro72 33063
+205.074,76 1031
+1.162.090,24 1035
2109 ro92
+157.016,39 17015 1071
+2.669.278,68 17016 1075
2110 ro95 úz13014 1201,5
+4.839,58 +27.424,29
2110 ro105 +1.029.607,24
2112 ro127 +1.014.582,83</t>
        </r>
      </text>
    </comment>
    <comment ref="D532" authorId="2" shapeId="0">
      <text>
        <r>
          <rPr>
            <b/>
            <sz val="9"/>
            <color indexed="81"/>
            <rFont val="Tahoma"/>
            <family val="2"/>
            <charset val="238"/>
          </rPr>
          <t>Jana:</t>
        </r>
        <r>
          <rPr>
            <sz val="9"/>
            <color indexed="81"/>
            <rFont val="Tahoma"/>
            <family val="2"/>
            <charset val="238"/>
          </rPr>
          <t xml:space="preserve">
2105 ro39 +5.000
2109 ro90 -467.110</t>
        </r>
      </text>
    </comment>
    <comment ref="D533" authorId="1" shapeId="0">
      <text>
        <r>
          <rPr>
            <b/>
            <sz val="9"/>
            <color indexed="81"/>
            <rFont val="Tahoma"/>
            <family val="2"/>
            <charset val="238"/>
          </rPr>
          <t>Jana Holíková:</t>
        </r>
        <r>
          <rPr>
            <sz val="9"/>
            <color indexed="81"/>
            <rFont val="Tahoma"/>
            <family val="2"/>
            <charset val="238"/>
          </rPr>
          <t xml:space="preserve">
2109 ro90
-334.494,10 +711.945,80
2109 ro92
+142.709,29 17968 1071
+2.426.057,88 17969 1075
2110 ro105 -1.029.607,24
2112 ro127 
+25.838 -1.014.582,83</t>
        </r>
      </text>
    </comment>
    <comment ref="D536" authorId="1" shapeId="0">
      <text>
        <r>
          <rPr>
            <b/>
            <sz val="9"/>
            <color indexed="81"/>
            <rFont val="Tahoma"/>
            <family val="2"/>
            <charset val="238"/>
          </rPr>
          <t>Jana Holíková:</t>
        </r>
        <r>
          <rPr>
            <sz val="9"/>
            <color indexed="81"/>
            <rFont val="Tahoma"/>
            <family val="2"/>
            <charset val="238"/>
          </rPr>
          <t xml:space="preserve">
2103 ro11 -30.000
2110 ro95 úz13014 1201,5
+2.670,26 +15.131,44
2111 ro116 
-24.020 +1.094.770,73 +126.901,23 +39.930
2112 ro125
+   63.450,62 17015 1071
+1.078.660,51 17016 1075</t>
        </r>
      </text>
    </comment>
    <comment ref="D537" authorId="1" shapeId="0">
      <text>
        <r>
          <rPr>
            <b/>
            <sz val="9"/>
            <color indexed="81"/>
            <rFont val="Tahoma"/>
            <family val="2"/>
            <charset val="238"/>
          </rPr>
          <t>Jana Holíková:</t>
        </r>
        <r>
          <rPr>
            <sz val="9"/>
            <color indexed="81"/>
            <rFont val="Tahoma"/>
            <family val="2"/>
            <charset val="238"/>
          </rPr>
          <t xml:space="preserve">
2109 ro86 -180.000</t>
        </r>
      </text>
    </comment>
    <comment ref="D538" authorId="1" shapeId="0">
      <text>
        <r>
          <rPr>
            <b/>
            <sz val="9"/>
            <color indexed="81"/>
            <rFont val="Tahoma"/>
            <family val="2"/>
            <charset val="238"/>
          </rPr>
          <t>Jana Holíková:</t>
        </r>
        <r>
          <rPr>
            <sz val="9"/>
            <color indexed="81"/>
            <rFont val="Tahoma"/>
            <family val="2"/>
            <charset val="238"/>
          </rPr>
          <t xml:space="preserve">
2109 ro86 +180.000
2111 ro116 
-2.112.330,91 -1.094.770,73 -126.901,23
2112 ro125
+  155.438,30 17968 1071
+2.642.451,15 17969 1075</t>
        </r>
      </text>
    </comment>
    <comment ref="D541" authorId="1" shapeId="0">
      <text>
        <r>
          <rPr>
            <b/>
            <sz val="9"/>
            <color indexed="81"/>
            <rFont val="Tahoma"/>
            <family val="2"/>
            <charset val="238"/>
          </rPr>
          <t>Jana Holíková:</t>
        </r>
        <r>
          <rPr>
            <sz val="9"/>
            <color indexed="81"/>
            <rFont val="Tahoma"/>
            <family val="2"/>
            <charset val="238"/>
          </rPr>
          <t xml:space="preserve">
2102 ro 2
 +   68.450,27 úz 17015, náz 1071
+1.163.654,63 úz 17016, náz 1075 
2103 ro11 -80.000
2110 ro95 úz13014 1201,5
+4.369,37 +24.759,73
2111 ro117 -88.468,35</t>
        </r>
      </text>
    </comment>
    <comment ref="D542" authorId="2" shapeId="0">
      <text>
        <r>
          <rPr>
            <b/>
            <sz val="9"/>
            <color indexed="81"/>
            <rFont val="Tahoma"/>
            <family val="2"/>
            <charset val="238"/>
          </rPr>
          <t>Jana:</t>
        </r>
        <r>
          <rPr>
            <sz val="9"/>
            <color indexed="81"/>
            <rFont val="Tahoma"/>
            <family val="2"/>
            <charset val="238"/>
          </rPr>
          <t xml:space="preserve">
2105 ro38 -2.000.000
2111 ro117 -395.556,08</t>
        </r>
      </text>
    </comment>
    <comment ref="D543" authorId="1" shapeId="0">
      <text>
        <r>
          <rPr>
            <b/>
            <sz val="9"/>
            <color indexed="81"/>
            <rFont val="Tahoma"/>
            <family val="2"/>
            <charset val="238"/>
          </rPr>
          <t>Jana Holíková:</t>
        </r>
        <r>
          <rPr>
            <sz val="9"/>
            <color indexed="81"/>
            <rFont val="Tahoma"/>
            <family val="2"/>
            <charset val="238"/>
          </rPr>
          <t xml:space="preserve">
2102 ro 2
+  51.518,6 úz17968 náz 1071
+875.816,2 úz17969 náz 1075
2111 ro117 -65.336,86</t>
        </r>
      </text>
    </comment>
    <comment ref="D546" authorId="1" shapeId="0">
      <text>
        <r>
          <rPr>
            <b/>
            <sz val="9"/>
            <color indexed="81"/>
            <rFont val="Tahoma"/>
            <family val="2"/>
            <charset val="238"/>
          </rPr>
          <t>Jana Holíková:</t>
        </r>
        <r>
          <rPr>
            <sz val="9"/>
            <color indexed="81"/>
            <rFont val="Tahoma"/>
            <family val="2"/>
            <charset val="238"/>
          </rPr>
          <t xml:space="preserve">
2103 ro11 -40.000
2103 ro24 úz33063
+169.419,91 1031
+960.046,09 1035
</t>
        </r>
      </text>
    </comment>
    <comment ref="D547" authorId="1" shapeId="0">
      <text>
        <r>
          <rPr>
            <b/>
            <sz val="9"/>
            <color indexed="81"/>
            <rFont val="Tahoma"/>
            <family val="2"/>
            <charset val="238"/>
          </rPr>
          <t>Jana Holíková:</t>
        </r>
        <r>
          <rPr>
            <sz val="9"/>
            <color indexed="81"/>
            <rFont val="Tahoma"/>
            <family val="2"/>
            <charset val="238"/>
          </rPr>
          <t xml:space="preserve">
2110 ro97 -1.681</t>
        </r>
      </text>
    </comment>
    <comment ref="D548" authorId="1" shapeId="0">
      <text>
        <r>
          <rPr>
            <b/>
            <sz val="9"/>
            <color indexed="81"/>
            <rFont val="Tahoma"/>
            <family val="2"/>
            <charset val="238"/>
          </rPr>
          <t>Jana Holíková:</t>
        </r>
        <r>
          <rPr>
            <sz val="9"/>
            <color indexed="81"/>
            <rFont val="Tahoma"/>
            <family val="2"/>
            <charset val="238"/>
          </rPr>
          <t xml:space="preserve">
2112 ro128 
-3 -1.120.000</t>
        </r>
      </text>
    </comment>
    <comment ref="D552" authorId="1" shapeId="0">
      <text>
        <r>
          <rPr>
            <b/>
            <sz val="9"/>
            <color indexed="81"/>
            <rFont val="Tahoma"/>
            <family val="2"/>
            <charset val="238"/>
          </rPr>
          <t>Jana Holíková:</t>
        </r>
        <r>
          <rPr>
            <sz val="9"/>
            <color indexed="81"/>
            <rFont val="Tahoma"/>
            <family val="2"/>
            <charset val="238"/>
          </rPr>
          <t xml:space="preserve">
2103 ro11 -40.000
2106 ro56 +62.300 úz33166
2106 ro55 +106.000 úz133
2109 ro51/1 -6.000 úz133
2111 ro118 -100.000
2111 ro56/1 -7.892,36 úz33166
2112 ro134 +15.000 úz33166</t>
        </r>
      </text>
    </comment>
    <comment ref="D553" authorId="1" shapeId="0">
      <text>
        <r>
          <rPr>
            <b/>
            <sz val="9"/>
            <color indexed="81"/>
            <rFont val="Tahoma"/>
            <family val="2"/>
            <charset val="238"/>
          </rPr>
          <t>Jana Holíková:</t>
        </r>
        <r>
          <rPr>
            <sz val="9"/>
            <color indexed="81"/>
            <rFont val="Tahoma"/>
            <family val="2"/>
            <charset val="238"/>
          </rPr>
          <t xml:space="preserve">
2111 ro118 +174.549,84</t>
        </r>
      </text>
    </comment>
    <comment ref="D554" authorId="1" shapeId="0">
      <text>
        <r>
          <rPr>
            <b/>
            <sz val="9"/>
            <color indexed="81"/>
            <rFont val="Tahoma"/>
            <family val="2"/>
            <charset val="238"/>
          </rPr>
          <t>Jana Holíková:</t>
        </r>
        <r>
          <rPr>
            <sz val="9"/>
            <color indexed="81"/>
            <rFont val="Tahoma"/>
            <family val="2"/>
            <charset val="238"/>
          </rPr>
          <t xml:space="preserve">
2108 ro78 -12.650.000
2111 ro118 -4.572.567,33</t>
        </r>
      </text>
    </comment>
    <comment ref="D555" authorId="1" shapeId="0">
      <text>
        <r>
          <rPr>
            <b/>
            <sz val="9"/>
            <color indexed="81"/>
            <rFont val="Tahoma"/>
            <family val="2"/>
            <charset val="238"/>
          </rPr>
          <t>Jana Holíková:</t>
        </r>
        <r>
          <rPr>
            <sz val="9"/>
            <color indexed="81"/>
            <rFont val="Tahoma"/>
            <family val="2"/>
            <charset val="238"/>
          </rPr>
          <t xml:space="preserve">
2107 ro68 -80.000</t>
        </r>
      </text>
    </comment>
    <comment ref="D558" authorId="1" shapeId="0">
      <text>
        <r>
          <rPr>
            <b/>
            <sz val="9"/>
            <color indexed="81"/>
            <rFont val="Tahoma"/>
            <family val="2"/>
            <charset val="238"/>
          </rPr>
          <t>Jana Holíková:</t>
        </r>
        <r>
          <rPr>
            <sz val="9"/>
            <color indexed="81"/>
            <rFont val="Tahoma"/>
            <family val="2"/>
            <charset val="238"/>
          </rPr>
          <t xml:space="preserve">
2102 ro7 +25.236
2103 ro11 -100.000  
2110 ro102 +7.406
2112 ro130 -1.200.000</t>
        </r>
      </text>
    </comment>
    <comment ref="D559" authorId="1" shapeId="0">
      <text>
        <r>
          <rPr>
            <b/>
            <sz val="9"/>
            <color indexed="81"/>
            <rFont val="Tahoma"/>
            <family val="2"/>
            <charset val="238"/>
          </rPr>
          <t>Jana Holíková:</t>
        </r>
        <r>
          <rPr>
            <sz val="9"/>
            <color indexed="81"/>
            <rFont val="Tahoma"/>
            <family val="2"/>
            <charset val="238"/>
          </rPr>
          <t xml:space="preserve">
2103 ro11 -2.000.000
2111 ro120 -9.406.511,28
2112 ro130 -422.772,30</t>
        </r>
      </text>
    </comment>
    <comment ref="D562" authorId="1" shapeId="0">
      <text>
        <r>
          <rPr>
            <b/>
            <sz val="9"/>
            <color indexed="81"/>
            <rFont val="Tahoma"/>
            <family val="2"/>
            <charset val="238"/>
          </rPr>
          <t>Jana Holíková:</t>
        </r>
        <r>
          <rPr>
            <sz val="9"/>
            <color indexed="81"/>
            <rFont val="Tahoma"/>
            <family val="2"/>
            <charset val="238"/>
          </rPr>
          <t xml:space="preserve">
2107 ro68 -100.000</t>
        </r>
      </text>
    </comment>
    <comment ref="D566" authorId="1" shapeId="0">
      <text>
        <r>
          <rPr>
            <b/>
            <sz val="9"/>
            <color indexed="81"/>
            <rFont val="Tahoma"/>
            <family val="2"/>
            <charset val="238"/>
          </rPr>
          <t>Jana Holíková:</t>
        </r>
        <r>
          <rPr>
            <sz val="9"/>
            <color indexed="81"/>
            <rFont val="Tahoma"/>
            <family val="2"/>
            <charset val="238"/>
          </rPr>
          <t xml:space="preserve">
2107 ro68 +180.000
2110 ro68změna
-40.000
2111 ro112 +141.000 úz34054</t>
        </r>
      </text>
    </comment>
    <comment ref="D568" authorId="1" shapeId="0">
      <text>
        <r>
          <rPr>
            <b/>
            <sz val="9"/>
            <color indexed="81"/>
            <rFont val="Tahoma"/>
            <family val="2"/>
            <charset val="238"/>
          </rPr>
          <t>Jana Holíková:</t>
        </r>
        <r>
          <rPr>
            <sz val="9"/>
            <color indexed="81"/>
            <rFont val="Tahoma"/>
            <family val="2"/>
            <charset val="238"/>
          </rPr>
          <t xml:space="preserve">
2110 ro68změna
+40.000</t>
        </r>
      </text>
    </comment>
    <comment ref="D573" authorId="1" shapeId="0">
      <text>
        <r>
          <rPr>
            <b/>
            <sz val="9"/>
            <color indexed="81"/>
            <rFont val="Tahoma"/>
            <family val="2"/>
            <charset val="238"/>
          </rPr>
          <t>Jana Holíková:</t>
        </r>
        <r>
          <rPr>
            <sz val="9"/>
            <color indexed="81"/>
            <rFont val="Tahoma"/>
            <family val="2"/>
            <charset val="238"/>
          </rPr>
          <t xml:space="preserve">
2102 ro4 úz345
+4.123.000
2103 ro11 -250.000
2103 ro18 +830.000
2103 ro27 +100.000 NJKL
2105 ro38 -300.000 -330000
2105 ro39 +8.243
2107 ro74 -244.970,18
2107 ro77 +382.000 úz34002
2110 ro94 -1.496.251,56
2110 ro102 +472
2112 ro129 -1.000.000</t>
        </r>
      </text>
    </comment>
    <comment ref="D575" authorId="2" shapeId="0">
      <text>
        <r>
          <rPr>
            <b/>
            <sz val="9"/>
            <color indexed="81"/>
            <rFont val="Tahoma"/>
            <family val="2"/>
            <charset val="238"/>
          </rPr>
          <t>Jana:</t>
        </r>
        <r>
          <rPr>
            <sz val="9"/>
            <color indexed="81"/>
            <rFont val="Tahoma"/>
            <family val="2"/>
            <charset val="238"/>
          </rPr>
          <t xml:space="preserve">
2105 ro38 +330.000
2106 ro57 +32.201
</t>
        </r>
      </text>
    </comment>
    <comment ref="D576" authorId="2" shapeId="0">
      <text>
        <r>
          <rPr>
            <b/>
            <sz val="9"/>
            <color indexed="81"/>
            <rFont val="Tahoma"/>
            <family val="2"/>
            <charset val="238"/>
          </rPr>
          <t>Jana:</t>
        </r>
        <r>
          <rPr>
            <sz val="9"/>
            <color indexed="81"/>
            <rFont val="Tahoma"/>
            <family val="2"/>
            <charset val="238"/>
          </rPr>
          <t xml:space="preserve">
2106 ro57 -32.201
</t>
        </r>
      </text>
    </comment>
    <comment ref="D589" authorId="1" shapeId="0">
      <text>
        <r>
          <rPr>
            <b/>
            <sz val="9"/>
            <color indexed="81"/>
            <rFont val="Tahoma"/>
            <family val="2"/>
            <charset val="238"/>
          </rPr>
          <t>Jana Holíková:</t>
        </r>
        <r>
          <rPr>
            <sz val="9"/>
            <color indexed="81"/>
            <rFont val="Tahoma"/>
            <family val="2"/>
            <charset val="238"/>
          </rPr>
          <t xml:space="preserve">
2103 ro19 +500.000
2103 ro20 -+90.000
2103 ro21 +79.385
2103 ro22 +267.145
2103 ro23 +213.939
2106 ro60 +-49.000
2109 ro82 +100.000
2111 ro111 +-25.000
2112 ro122 +80.000</t>
        </r>
      </text>
    </comment>
    <comment ref="D592" authorId="1" shapeId="0">
      <text>
        <r>
          <rPr>
            <b/>
            <sz val="9"/>
            <color indexed="81"/>
            <rFont val="Tahoma"/>
            <family val="2"/>
            <charset val="238"/>
          </rPr>
          <t>Jana Holíková:</t>
        </r>
        <r>
          <rPr>
            <sz val="9"/>
            <color indexed="81"/>
            <rFont val="Tahoma"/>
            <family val="2"/>
            <charset val="238"/>
          </rPr>
          <t xml:space="preserve">
2110 ro104 +140.000 úz14036
2112 ro51/4 +-50.000</t>
        </r>
      </text>
    </comment>
    <comment ref="A596" authorId="1" shapeId="0">
      <text>
        <r>
          <rPr>
            <b/>
            <sz val="9"/>
            <color indexed="81"/>
            <rFont val="Tahoma"/>
            <family val="2"/>
            <charset val="238"/>
          </rPr>
          <t>Jana Holíková:</t>
        </r>
        <r>
          <rPr>
            <sz val="9"/>
            <color indexed="81"/>
            <rFont val="Tahoma"/>
            <family val="2"/>
            <charset val="238"/>
          </rPr>
          <t xml:space="preserve">
do 2018 - § 5262
od 2019 - § 5213</t>
        </r>
      </text>
    </comment>
    <comment ref="D599" authorId="1" shapeId="0">
      <text>
        <r>
          <rPr>
            <b/>
            <sz val="9"/>
            <color indexed="81"/>
            <rFont val="Tahoma"/>
            <family val="2"/>
            <charset val="238"/>
          </rPr>
          <t>Jana Holíková:</t>
        </r>
        <r>
          <rPr>
            <sz val="9"/>
            <color indexed="81"/>
            <rFont val="Tahoma"/>
            <family val="2"/>
            <charset val="238"/>
          </rPr>
          <t xml:space="preserve">
2111 ro115 +-208.529
2112 ro51/5 +3.600</t>
        </r>
      </text>
    </comment>
    <comment ref="D601" authorId="1" shapeId="0">
      <text>
        <r>
          <rPr>
            <b/>
            <sz val="9"/>
            <color indexed="81"/>
            <rFont val="Tahoma"/>
            <family val="2"/>
            <charset val="238"/>
          </rPr>
          <t>Jana Holíková:</t>
        </r>
        <r>
          <rPr>
            <sz val="9"/>
            <color indexed="81"/>
            <rFont val="Tahoma"/>
            <family val="2"/>
            <charset val="238"/>
          </rPr>
          <t xml:space="preserve">
2103 ro11 -400.000
2107 ro71 +300.000
2108 ro81 -1.500.000
2110 ro102 +12.587
211007 -62.000 
2111 ro110 +76.838
2111 ro112 +788.000 úz 34054</t>
        </r>
      </text>
    </comment>
    <comment ref="D602" authorId="1" shapeId="0">
      <text>
        <r>
          <rPr>
            <b/>
            <sz val="9"/>
            <color indexed="81"/>
            <rFont val="Tahoma"/>
            <family val="2"/>
            <charset val="238"/>
          </rPr>
          <t>Jana Holíková:</t>
        </r>
        <r>
          <rPr>
            <sz val="9"/>
            <color indexed="81"/>
            <rFont val="Tahoma"/>
            <family val="2"/>
            <charset val="238"/>
          </rPr>
          <t xml:space="preserve">
211007 +62.000</t>
        </r>
      </text>
    </comment>
    <comment ref="D603" authorId="1" shapeId="0">
      <text>
        <r>
          <rPr>
            <b/>
            <sz val="9"/>
            <color indexed="81"/>
            <rFont val="Tahoma"/>
            <family val="2"/>
            <charset val="238"/>
          </rPr>
          <t>Jana Holíková:</t>
        </r>
        <r>
          <rPr>
            <sz val="9"/>
            <color indexed="81"/>
            <rFont val="Tahoma"/>
            <family val="2"/>
            <charset val="238"/>
          </rPr>
          <t xml:space="preserve">
210810 +80.000</t>
        </r>
      </text>
    </comment>
    <comment ref="D604" authorId="2" shapeId="0">
      <text>
        <r>
          <rPr>
            <b/>
            <sz val="9"/>
            <color indexed="81"/>
            <rFont val="Tahoma"/>
            <family val="2"/>
            <charset val="238"/>
          </rPr>
          <t>Jana:</t>
        </r>
        <r>
          <rPr>
            <sz val="9"/>
            <color indexed="81"/>
            <rFont val="Tahoma"/>
            <family val="2"/>
            <charset val="238"/>
          </rPr>
          <t xml:space="preserve">
2104 ro31 úz13013
+  59.625  1041
+506.812,5 1045
210810 -80.000</t>
        </r>
      </text>
    </comment>
    <comment ref="D608" authorId="2" shapeId="0">
      <text>
        <r>
          <rPr>
            <b/>
            <sz val="9"/>
            <color indexed="81"/>
            <rFont val="Tahoma"/>
            <family val="2"/>
            <charset val="238"/>
          </rPr>
          <t>Jana:</t>
        </r>
        <r>
          <rPr>
            <sz val="9"/>
            <color indexed="81"/>
            <rFont val="Tahoma"/>
            <family val="2"/>
            <charset val="238"/>
          </rPr>
          <t xml:space="preserve">
2105 ro44 +-100.300
2107 ro66 +-100.300
2112 ro51/3 -37.631,94</t>
        </r>
      </text>
    </comment>
    <comment ref="D612" authorId="1" shapeId="0">
      <text>
        <r>
          <rPr>
            <b/>
            <sz val="9"/>
            <color indexed="81"/>
            <rFont val="Tahoma"/>
            <family val="2"/>
            <charset val="238"/>
          </rPr>
          <t>Jana Holíková:</t>
        </r>
        <r>
          <rPr>
            <sz val="9"/>
            <color indexed="81"/>
            <rFont val="Tahoma"/>
            <family val="2"/>
            <charset val="238"/>
          </rPr>
          <t xml:space="preserve">
2103 ro18 +2.095.129</t>
        </r>
      </text>
    </comment>
    <comment ref="D615" authorId="1" shapeId="0">
      <text>
        <r>
          <rPr>
            <b/>
            <sz val="9"/>
            <color indexed="81"/>
            <rFont val="Tahoma"/>
            <family val="2"/>
            <charset val="238"/>
          </rPr>
          <t>Jana Holíková:</t>
        </r>
        <r>
          <rPr>
            <sz val="9"/>
            <color indexed="81"/>
            <rFont val="Tahoma"/>
            <family val="2"/>
            <charset val="238"/>
          </rPr>
          <t xml:space="preserve">
2103 ro11 -490.000
2105 ro43 
-1.137.306 +1.211.186
2106 ro53 +91.988
2107 ro66 +728.860
</t>
        </r>
      </text>
    </comment>
    <comment ref="D616" authorId="2" shapeId="0">
      <text>
        <r>
          <rPr>
            <b/>
            <sz val="9"/>
            <color indexed="81"/>
            <rFont val="Tahoma"/>
            <family val="2"/>
            <charset val="238"/>
          </rPr>
          <t>Jana:</t>
        </r>
        <r>
          <rPr>
            <sz val="9"/>
            <color indexed="81"/>
            <rFont val="Tahoma"/>
            <family val="2"/>
            <charset val="238"/>
          </rPr>
          <t xml:space="preserve">
2105 ro44 +-3.467.650</t>
        </r>
      </text>
    </comment>
    <comment ref="D617" authorId="2" shapeId="0">
      <text>
        <r>
          <rPr>
            <b/>
            <sz val="9"/>
            <color indexed="81"/>
            <rFont val="Tahoma"/>
            <family val="2"/>
            <charset val="238"/>
          </rPr>
          <t>Jana:</t>
        </r>
        <r>
          <rPr>
            <sz val="9"/>
            <color indexed="81"/>
            <rFont val="Tahoma"/>
            <family val="2"/>
            <charset val="238"/>
          </rPr>
          <t xml:space="preserve">
2105 ro44 +-3.467.650
2107 ro66 
+ 4.321.750-4.201.510
2112 ro51/3 -124.630</t>
        </r>
      </text>
    </comment>
    <comment ref="D618" authorId="1" shapeId="0">
      <text>
        <r>
          <rPr>
            <b/>
            <sz val="9"/>
            <color indexed="81"/>
            <rFont val="Tahoma"/>
            <family val="2"/>
            <charset val="238"/>
          </rPr>
          <t>Jana Holíková:</t>
        </r>
        <r>
          <rPr>
            <sz val="9"/>
            <color indexed="81"/>
            <rFont val="Tahoma"/>
            <family val="2"/>
            <charset val="238"/>
          </rPr>
          <t xml:space="preserve">
2107 ro71 -300.000
2108 ro83 +2.000.000</t>
        </r>
      </text>
    </comment>
    <comment ref="D627" authorId="2" shapeId="0">
      <text>
        <r>
          <rPr>
            <b/>
            <sz val="9"/>
            <color indexed="81"/>
            <rFont val="Tahoma"/>
            <family val="2"/>
            <charset val="238"/>
          </rPr>
          <t>Jana:</t>
        </r>
        <r>
          <rPr>
            <sz val="9"/>
            <color indexed="81"/>
            <rFont val="Tahoma"/>
            <family val="2"/>
            <charset val="238"/>
          </rPr>
          <t xml:space="preserve">
2105 ro44 +-5.000
</t>
        </r>
      </text>
    </comment>
    <comment ref="D628" authorId="1" shapeId="0">
      <text>
        <r>
          <rPr>
            <b/>
            <sz val="9"/>
            <color indexed="81"/>
            <rFont val="Tahoma"/>
            <family val="2"/>
            <charset val="238"/>
          </rPr>
          <t>Jana Holíková:</t>
        </r>
        <r>
          <rPr>
            <sz val="9"/>
            <color indexed="81"/>
            <rFont val="Tahoma"/>
            <family val="2"/>
            <charset val="238"/>
          </rPr>
          <t xml:space="preserve">
2103 ro28 +50.000</t>
        </r>
      </text>
    </comment>
    <comment ref="D631" authorId="2" shapeId="0">
      <text>
        <r>
          <rPr>
            <b/>
            <sz val="9"/>
            <color indexed="81"/>
            <rFont val="Tahoma"/>
            <family val="2"/>
            <charset val="238"/>
          </rPr>
          <t>Jana:</t>
        </r>
        <r>
          <rPr>
            <sz val="9"/>
            <color indexed="81"/>
            <rFont val="Tahoma"/>
            <family val="2"/>
            <charset val="238"/>
          </rPr>
          <t xml:space="preserve">
2107 +-5.000
210708 -5.000</t>
        </r>
      </text>
    </comment>
    <comment ref="D635" authorId="1" shapeId="0">
      <text>
        <r>
          <rPr>
            <b/>
            <sz val="9"/>
            <color indexed="81"/>
            <rFont val="Tahoma"/>
            <family val="2"/>
            <charset val="238"/>
          </rPr>
          <t>Jana Holíková:</t>
        </r>
        <r>
          <rPr>
            <sz val="9"/>
            <color indexed="81"/>
            <rFont val="Tahoma"/>
            <family val="2"/>
            <charset val="238"/>
          </rPr>
          <t xml:space="preserve">
2103 ro11 -100.000
</t>
        </r>
      </text>
    </comment>
    <comment ref="D647" authorId="1" shapeId="0">
      <text>
        <r>
          <rPr>
            <b/>
            <sz val="9"/>
            <color indexed="81"/>
            <rFont val="Tahoma"/>
            <family val="2"/>
            <charset val="238"/>
          </rPr>
          <t>Jana Holíková:</t>
        </r>
        <r>
          <rPr>
            <sz val="9"/>
            <color indexed="81"/>
            <rFont val="Tahoma"/>
            <family val="2"/>
            <charset val="238"/>
          </rPr>
          <t xml:space="preserve">
2112 ro51/5</t>
        </r>
      </text>
    </comment>
    <comment ref="D652" authorId="1" shapeId="0">
      <text>
        <r>
          <rPr>
            <b/>
            <sz val="9"/>
            <color indexed="81"/>
            <rFont val="Tahoma"/>
            <family val="2"/>
            <charset val="238"/>
          </rPr>
          <t>Jana Holíková:</t>
        </r>
        <r>
          <rPr>
            <sz val="9"/>
            <color indexed="81"/>
            <rFont val="Tahoma"/>
            <family val="2"/>
            <charset val="238"/>
          </rPr>
          <t xml:space="preserve">
2111 ro109 -47.000</t>
        </r>
      </text>
    </comment>
    <comment ref="D654" authorId="1" shapeId="0">
      <text>
        <r>
          <rPr>
            <b/>
            <sz val="9"/>
            <color indexed="81"/>
            <rFont val="Tahoma"/>
            <family val="2"/>
            <charset val="238"/>
          </rPr>
          <t>Jana Holíková:</t>
        </r>
        <r>
          <rPr>
            <sz val="9"/>
            <color indexed="81"/>
            <rFont val="Tahoma"/>
            <family val="2"/>
            <charset val="238"/>
          </rPr>
          <t xml:space="preserve">
2103 ro26 -12.000
2104 ro34 -15.000
2105 ro49 -10.000
2109 ro84 -45.000</t>
        </r>
      </text>
    </comment>
    <comment ref="D657" authorId="1" shapeId="0">
      <text>
        <r>
          <rPr>
            <b/>
            <sz val="9"/>
            <color indexed="81"/>
            <rFont val="Tahoma"/>
            <family val="2"/>
            <charset val="238"/>
          </rPr>
          <t>Jana Holíková:</t>
        </r>
        <r>
          <rPr>
            <sz val="9"/>
            <color indexed="81"/>
            <rFont val="Tahoma"/>
            <family val="2"/>
            <charset val="238"/>
          </rPr>
          <t xml:space="preserve">
2103 ro26 +12.000
2104 ro34 +15.000
2105 ro49 +10.000
2109 ro84 +45.000
2111 ro109 +47.000</t>
        </r>
      </text>
    </comment>
    <comment ref="D661" authorId="2" shapeId="0">
      <text>
        <r>
          <rPr>
            <b/>
            <sz val="9"/>
            <color indexed="81"/>
            <rFont val="Tahoma"/>
            <family val="2"/>
            <charset val="238"/>
          </rPr>
          <t>Jana:</t>
        </r>
        <r>
          <rPr>
            <sz val="9"/>
            <color indexed="81"/>
            <rFont val="Tahoma"/>
            <family val="2"/>
            <charset val="238"/>
          </rPr>
          <t xml:space="preserve">
2104 ro35 
+541.000  0390
+2.820.000 2390
2105 ro40 +635.148
2106 ro59
+1.500 úz13305
-1.500 bez úz
2107 ro70 +40.950
210903 -50.000
2110 ro93 +23.000
2110 ro102 +16.292
</t>
        </r>
      </text>
    </comment>
    <comment ref="D662" authorId="2" shapeId="0">
      <text>
        <r>
          <rPr>
            <b/>
            <sz val="9"/>
            <color indexed="81"/>
            <rFont val="Tahoma"/>
            <family val="2"/>
            <charset val="238"/>
          </rPr>
          <t>Jana:</t>
        </r>
        <r>
          <rPr>
            <sz val="9"/>
            <color indexed="81"/>
            <rFont val="Tahoma"/>
            <family val="2"/>
            <charset val="238"/>
          </rPr>
          <t xml:space="preserve">
2104 ro35
+190.000  1391
+550.000  2391
2105 ro40 +164.975
2112 ro124 +30.000
2112 ro51/4 +-2.157</t>
        </r>
      </text>
    </comment>
    <comment ref="D663" authorId="2" shapeId="0">
      <text>
        <r>
          <rPr>
            <b/>
            <sz val="9"/>
            <color indexed="81"/>
            <rFont val="Tahoma"/>
            <family val="2"/>
            <charset val="238"/>
          </rPr>
          <t>Jana:</t>
        </r>
        <r>
          <rPr>
            <sz val="9"/>
            <color indexed="81"/>
            <rFont val="Tahoma"/>
            <family val="2"/>
            <charset val="238"/>
          </rPr>
          <t xml:space="preserve">
2104 ro35 
+1.483.000  2393
2105 ro40 +595.143
2107 ro70 +46.839
210903 +50.000
2110 ro93 +36.000 +275.000</t>
        </r>
      </text>
    </comment>
    <comment ref="D667" authorId="1" shapeId="0">
      <text>
        <r>
          <rPr>
            <b/>
            <sz val="9"/>
            <color indexed="81"/>
            <rFont val="Tahoma"/>
            <family val="2"/>
            <charset val="238"/>
          </rPr>
          <t>Jana Holíková:</t>
        </r>
        <r>
          <rPr>
            <sz val="9"/>
            <color indexed="81"/>
            <rFont val="Tahoma"/>
            <family val="2"/>
            <charset val="238"/>
          </rPr>
          <t xml:space="preserve">
2112 ro137 +44.100 úz29014</t>
        </r>
      </text>
    </comment>
    <comment ref="D672" authorId="2" shapeId="0">
      <text>
        <r>
          <rPr>
            <b/>
            <sz val="9"/>
            <color indexed="81"/>
            <rFont val="Tahoma"/>
            <family val="2"/>
            <charset val="238"/>
          </rPr>
          <t>Jana:</t>
        </r>
        <r>
          <rPr>
            <sz val="9"/>
            <color indexed="81"/>
            <rFont val="Tahoma"/>
            <family val="2"/>
            <charset val="238"/>
          </rPr>
          <t xml:space="preserve">
2105 ro37 +84.350</t>
        </r>
      </text>
    </comment>
    <comment ref="D675" authorId="2" shapeId="0">
      <text>
        <r>
          <rPr>
            <b/>
            <sz val="9"/>
            <color indexed="81"/>
            <rFont val="Tahoma"/>
            <family val="2"/>
            <charset val="238"/>
          </rPr>
          <t>Jana:</t>
        </r>
        <r>
          <rPr>
            <sz val="9"/>
            <color indexed="81"/>
            <rFont val="Tahoma"/>
            <family val="2"/>
            <charset val="238"/>
          </rPr>
          <t xml:space="preserve">
2105 ro37 +120.100
2112 ro131 -600.000</t>
        </r>
      </text>
    </comment>
    <comment ref="D677" authorId="1" shapeId="0">
      <text>
        <r>
          <rPr>
            <b/>
            <sz val="9"/>
            <color indexed="81"/>
            <rFont val="Tahoma"/>
            <family val="2"/>
            <charset val="238"/>
          </rPr>
          <t>Jana Holíková:</t>
        </r>
        <r>
          <rPr>
            <sz val="9"/>
            <color indexed="81"/>
            <rFont val="Tahoma"/>
            <family val="2"/>
            <charset val="238"/>
          </rPr>
          <t xml:space="preserve">
2111 ro121 -360.000
2112 ro131 -110.000
2112 ro51/4 +110.000</t>
        </r>
      </text>
    </comment>
    <comment ref="D679" authorId="1" shapeId="0">
      <text>
        <r>
          <rPr>
            <b/>
            <sz val="9"/>
            <color indexed="81"/>
            <rFont val="Tahoma"/>
            <family val="2"/>
            <charset val="238"/>
          </rPr>
          <t>Jana Holíková:</t>
        </r>
        <r>
          <rPr>
            <sz val="9"/>
            <color indexed="81"/>
            <rFont val="Tahoma"/>
            <family val="2"/>
            <charset val="238"/>
          </rPr>
          <t xml:space="preserve">
2112 ro136 +59.955,50 úz15091</t>
        </r>
      </text>
    </comment>
    <comment ref="D683" authorId="2" shapeId="0">
      <text>
        <r>
          <rPr>
            <b/>
            <sz val="9"/>
            <color indexed="81"/>
            <rFont val="Tahoma"/>
            <family val="2"/>
            <charset val="238"/>
          </rPr>
          <t>Jana:</t>
        </r>
        <r>
          <rPr>
            <sz val="9"/>
            <color indexed="81"/>
            <rFont val="Tahoma"/>
            <family val="2"/>
            <charset val="238"/>
          </rPr>
          <t xml:space="preserve">
2104 ro30 +234.740
2105 ro37 +107.900</t>
        </r>
      </text>
    </comment>
    <comment ref="D685" authorId="2" shapeId="0">
      <text>
        <r>
          <rPr>
            <b/>
            <sz val="9"/>
            <color indexed="81"/>
            <rFont val="Tahoma"/>
            <family val="2"/>
            <charset val="238"/>
          </rPr>
          <t>Jana:</t>
        </r>
        <r>
          <rPr>
            <sz val="9"/>
            <color indexed="81"/>
            <rFont val="Tahoma"/>
            <family val="2"/>
            <charset val="238"/>
          </rPr>
          <t xml:space="preserve">
2104 ro30 -234.740
2107 ro67 -1.000.000
2111 ro121 -8.530.260
2112 ro131 +110.000
2112 ro51/4 -110.000</t>
        </r>
      </text>
    </comment>
    <comment ref="D688" authorId="2" shapeId="0">
      <text>
        <r>
          <rPr>
            <b/>
            <sz val="9"/>
            <color indexed="81"/>
            <rFont val="Tahoma"/>
            <family val="2"/>
            <charset val="238"/>
          </rPr>
          <t>Jana:</t>
        </r>
        <r>
          <rPr>
            <sz val="9"/>
            <color indexed="81"/>
            <rFont val="Tahoma"/>
            <family val="2"/>
            <charset val="238"/>
          </rPr>
          <t xml:space="preserve">
2106 ro52 +150.000</t>
        </r>
      </text>
    </comment>
    <comment ref="D689" authorId="2" shapeId="0">
      <text>
        <r>
          <rPr>
            <b/>
            <sz val="9"/>
            <color indexed="81"/>
            <rFont val="Tahoma"/>
            <family val="2"/>
            <charset val="238"/>
          </rPr>
          <t>Jana:</t>
        </r>
        <r>
          <rPr>
            <sz val="9"/>
            <color indexed="81"/>
            <rFont val="Tahoma"/>
            <family val="2"/>
            <charset val="238"/>
          </rPr>
          <t xml:space="preserve">
2106 ro52 +150.000</t>
        </r>
      </text>
    </comment>
    <comment ref="D696" authorId="1" shapeId="0">
      <text>
        <r>
          <rPr>
            <b/>
            <sz val="9"/>
            <color indexed="81"/>
            <rFont val="Tahoma"/>
            <family val="2"/>
            <charset val="238"/>
          </rPr>
          <t>Jana Holíková:</t>
        </r>
        <r>
          <rPr>
            <sz val="9"/>
            <color indexed="81"/>
            <rFont val="Tahoma"/>
            <family val="2"/>
            <charset val="238"/>
          </rPr>
          <t xml:space="preserve">
2103 ro17 -1.100.000</t>
        </r>
      </text>
    </comment>
    <comment ref="D699" authorId="2" shapeId="0">
      <text>
        <r>
          <rPr>
            <b/>
            <sz val="9"/>
            <color indexed="81"/>
            <rFont val="Tahoma"/>
            <family val="2"/>
            <charset val="238"/>
          </rPr>
          <t>Jana:</t>
        </r>
        <r>
          <rPr>
            <sz val="9"/>
            <color indexed="81"/>
            <rFont val="Tahoma"/>
            <family val="2"/>
            <charset val="238"/>
          </rPr>
          <t xml:space="preserve">
2100406 -6.600</t>
        </r>
      </text>
    </comment>
    <comment ref="D701" authorId="1" shapeId="0">
      <text>
        <r>
          <rPr>
            <b/>
            <sz val="9"/>
            <color indexed="81"/>
            <rFont val="Tahoma"/>
            <family val="2"/>
            <charset val="238"/>
          </rPr>
          <t>Jana Holíková:</t>
        </r>
        <r>
          <rPr>
            <sz val="9"/>
            <color indexed="81"/>
            <rFont val="Tahoma"/>
            <family val="2"/>
            <charset val="238"/>
          </rPr>
          <t xml:space="preserve">
2103 ro11 -100.000</t>
        </r>
      </text>
    </comment>
    <comment ref="D702" authorId="1" shapeId="0">
      <text>
        <r>
          <rPr>
            <b/>
            <sz val="9"/>
            <color indexed="81"/>
            <rFont val="Tahoma"/>
            <family val="2"/>
            <charset val="238"/>
          </rPr>
          <t>Jana Holíková:</t>
        </r>
        <r>
          <rPr>
            <sz val="9"/>
            <color indexed="81"/>
            <rFont val="Tahoma"/>
            <family val="2"/>
            <charset val="238"/>
          </rPr>
          <t xml:space="preserve">
2103 ro11 -400.000</t>
        </r>
      </text>
    </comment>
    <comment ref="D704" authorId="1" shapeId="0">
      <text>
        <r>
          <rPr>
            <b/>
            <sz val="9"/>
            <color indexed="81"/>
            <rFont val="Tahoma"/>
            <family val="2"/>
            <charset val="238"/>
          </rPr>
          <t>Jana Holíková:</t>
        </r>
        <r>
          <rPr>
            <sz val="9"/>
            <color indexed="81"/>
            <rFont val="Tahoma"/>
            <family val="2"/>
            <charset val="238"/>
          </rPr>
          <t xml:space="preserve">
2103 ro17 -1.142.000
210406 +6.600
211101 
-243.788,99 5222
+96.122,40 6122
211213
-200.174 5222
+197.230 6122</t>
        </r>
      </text>
    </comment>
    <comment ref="D705" authorId="1" shapeId="0">
      <text>
        <r>
          <rPr>
            <b/>
            <sz val="9"/>
            <color indexed="81"/>
            <rFont val="Tahoma"/>
            <family val="2"/>
            <charset val="238"/>
          </rPr>
          <t>Jana Holíková:</t>
        </r>
        <r>
          <rPr>
            <sz val="9"/>
            <color indexed="81"/>
            <rFont val="Tahoma"/>
            <family val="2"/>
            <charset val="238"/>
          </rPr>
          <t xml:space="preserve">
211101 +147.666,59
211213 +2.944</t>
        </r>
      </text>
    </comment>
    <comment ref="D710" authorId="1" shapeId="0">
      <text>
        <r>
          <rPr>
            <b/>
            <sz val="9"/>
            <color indexed="81"/>
            <rFont val="Tahoma"/>
            <family val="2"/>
            <charset val="238"/>
          </rPr>
          <t>Jana Holíková:</t>
        </r>
        <r>
          <rPr>
            <sz val="9"/>
            <color indexed="81"/>
            <rFont val="Tahoma"/>
            <family val="2"/>
            <charset val="238"/>
          </rPr>
          <t xml:space="preserve">
2103 ro17 -600.000</t>
        </r>
      </text>
    </comment>
    <comment ref="D712" authorId="1" shapeId="0">
      <text>
        <r>
          <rPr>
            <b/>
            <sz val="9"/>
            <color indexed="81"/>
            <rFont val="Tahoma"/>
            <family val="2"/>
            <charset val="238"/>
          </rPr>
          <t>Jana Holíková:</t>
        </r>
        <r>
          <rPr>
            <sz val="9"/>
            <color indexed="81"/>
            <rFont val="Tahoma"/>
            <family val="2"/>
            <charset val="238"/>
          </rPr>
          <t xml:space="preserve">
2103 ro17 -850.000
210820 
-65.241,69 5222
+62.543,69 6122
2109 ro51/2 -2.500.000
211101 -2.000
211213 -277.022,24
2112 ro51/4 -418.617,73</t>
        </r>
      </text>
    </comment>
    <comment ref="D713" authorId="1" shapeId="0">
      <text>
        <r>
          <rPr>
            <b/>
            <sz val="9"/>
            <color indexed="81"/>
            <rFont val="Tahoma"/>
            <family val="2"/>
            <charset val="238"/>
          </rPr>
          <t>Jana Holíková:</t>
        </r>
        <r>
          <rPr>
            <sz val="9"/>
            <color indexed="81"/>
            <rFont val="Tahoma"/>
            <family val="2"/>
            <charset val="238"/>
          </rPr>
          <t xml:space="preserve">
210820 +2.698
211101 +2.000
211213 +277.022,24</t>
        </r>
      </text>
    </comment>
    <comment ref="D717" authorId="1" shapeId="0">
      <text>
        <r>
          <rPr>
            <b/>
            <sz val="9"/>
            <color indexed="81"/>
            <rFont val="Tahoma"/>
            <family val="2"/>
            <charset val="238"/>
          </rPr>
          <t>Jana Holíková:</t>
        </r>
        <r>
          <rPr>
            <sz val="9"/>
            <color indexed="81"/>
            <rFont val="Tahoma"/>
            <family val="2"/>
            <charset val="238"/>
          </rPr>
          <t xml:space="preserve">
2103 ro17 -700.000</t>
        </r>
      </text>
    </comment>
    <comment ref="D718" authorId="1" shapeId="0">
      <text>
        <r>
          <rPr>
            <b/>
            <sz val="9"/>
            <color indexed="81"/>
            <rFont val="Tahoma"/>
            <family val="2"/>
            <charset val="238"/>
          </rPr>
          <t>Jana Holíková:</t>
        </r>
        <r>
          <rPr>
            <sz val="9"/>
            <color indexed="81"/>
            <rFont val="Tahoma"/>
            <family val="2"/>
            <charset val="238"/>
          </rPr>
          <t xml:space="preserve">
2103 ro11 -600.000</t>
        </r>
      </text>
    </comment>
    <comment ref="D721" authorId="1" shapeId="0">
      <text>
        <r>
          <rPr>
            <b/>
            <sz val="9"/>
            <color indexed="81"/>
            <rFont val="Tahoma"/>
            <family val="2"/>
            <charset val="238"/>
          </rPr>
          <t>Jana Holíková:</t>
        </r>
        <r>
          <rPr>
            <sz val="9"/>
            <color indexed="81"/>
            <rFont val="Tahoma"/>
            <family val="2"/>
            <charset val="238"/>
          </rPr>
          <t xml:space="preserve">
2108 ro81 -1.900.000</t>
        </r>
      </text>
    </comment>
    <comment ref="D722" authorId="1" shapeId="0">
      <text>
        <r>
          <rPr>
            <b/>
            <sz val="9"/>
            <color indexed="81"/>
            <rFont val="Tahoma"/>
            <family val="2"/>
            <charset val="238"/>
          </rPr>
          <t>Jana Holíková:</t>
        </r>
        <r>
          <rPr>
            <sz val="9"/>
            <color indexed="81"/>
            <rFont val="Tahoma"/>
            <family val="2"/>
            <charset val="238"/>
          </rPr>
          <t xml:space="preserve">
2108 ro81 -1.900.000</t>
        </r>
      </text>
    </comment>
    <comment ref="D723" authorId="2" shapeId="0">
      <text>
        <r>
          <rPr>
            <b/>
            <sz val="9"/>
            <color indexed="81"/>
            <rFont val="Tahoma"/>
            <family val="2"/>
            <charset val="238"/>
          </rPr>
          <t>Jana:</t>
        </r>
        <r>
          <rPr>
            <sz val="9"/>
            <color indexed="81"/>
            <rFont val="Tahoma"/>
            <family val="2"/>
            <charset val="238"/>
          </rPr>
          <t xml:space="preserve">
2103 ro11 +15.000.000
2103 ro17 -     501.540
2105 ro48 -1.200.000
2108 ro81 -12.400.000</t>
        </r>
      </text>
    </comment>
    <comment ref="D725" authorId="1" shapeId="0">
      <text>
        <r>
          <rPr>
            <b/>
            <sz val="9"/>
            <color indexed="81"/>
            <rFont val="Tahoma"/>
            <family val="2"/>
            <charset val="238"/>
          </rPr>
          <t>Jana Holíková:</t>
        </r>
        <r>
          <rPr>
            <sz val="9"/>
            <color indexed="81"/>
            <rFont val="Tahoma"/>
            <family val="2"/>
            <charset val="238"/>
          </rPr>
          <t xml:space="preserve">
2103 ro17 +850.000</t>
        </r>
      </text>
    </comment>
    <comment ref="D728" authorId="1" shapeId="0">
      <text>
        <r>
          <rPr>
            <b/>
            <sz val="9"/>
            <color indexed="81"/>
            <rFont val="Tahoma"/>
            <family val="2"/>
            <charset val="238"/>
          </rPr>
          <t>Jana Holíková:</t>
        </r>
        <r>
          <rPr>
            <sz val="9"/>
            <color indexed="81"/>
            <rFont val="Tahoma"/>
            <family val="2"/>
            <charset val="238"/>
          </rPr>
          <t xml:space="preserve">
2103 ro11 -1.000.000
2103 ro11 -2.500.000
2105 ro46 +3.500.000
2108 ro81 +2.400.000</t>
        </r>
      </text>
    </comment>
    <comment ref="D730" authorId="1" shapeId="0">
      <text>
        <r>
          <rPr>
            <b/>
            <sz val="9"/>
            <color indexed="81"/>
            <rFont val="Tahoma"/>
            <family val="2"/>
            <charset val="238"/>
          </rPr>
          <t>Jana Holíková:</t>
        </r>
        <r>
          <rPr>
            <sz val="9"/>
            <color indexed="81"/>
            <rFont val="Tahoma"/>
            <family val="2"/>
            <charset val="238"/>
          </rPr>
          <t xml:space="preserve">
2108 ro81 +400.000</t>
        </r>
      </text>
    </comment>
    <comment ref="D735" authorId="1" shapeId="0">
      <text>
        <r>
          <rPr>
            <b/>
            <sz val="9"/>
            <color indexed="81"/>
            <rFont val="Tahoma"/>
            <family val="2"/>
            <charset val="238"/>
          </rPr>
          <t>Jana Holíková:</t>
        </r>
        <r>
          <rPr>
            <sz val="9"/>
            <color indexed="81"/>
            <rFont val="Tahoma"/>
            <family val="2"/>
            <charset val="238"/>
          </rPr>
          <t xml:space="preserve">
2103 -900.000</t>
        </r>
      </text>
    </comment>
    <comment ref="D746" authorId="1" shapeId="0">
      <text>
        <r>
          <rPr>
            <b/>
            <sz val="9"/>
            <color indexed="81"/>
            <rFont val="Tahoma"/>
            <family val="2"/>
            <charset val="238"/>
          </rPr>
          <t>Jana Holíková:</t>
        </r>
        <r>
          <rPr>
            <sz val="9"/>
            <color indexed="81"/>
            <rFont val="Tahoma"/>
            <family val="2"/>
            <charset val="238"/>
          </rPr>
          <t xml:space="preserve">
2103 ro17 -500.000</t>
        </r>
      </text>
    </comment>
    <comment ref="D749" authorId="1" shapeId="0">
      <text>
        <r>
          <rPr>
            <b/>
            <sz val="9"/>
            <color indexed="81"/>
            <rFont val="Tahoma"/>
            <family val="2"/>
            <charset val="238"/>
          </rPr>
          <t>Jana Holíková:</t>
        </r>
        <r>
          <rPr>
            <sz val="9"/>
            <color indexed="81"/>
            <rFont val="Tahoma"/>
            <family val="2"/>
            <charset val="238"/>
          </rPr>
          <t xml:space="preserve">
2108 ro51/1 +2.000
211221 -20.000</t>
        </r>
      </text>
    </comment>
    <comment ref="D751" authorId="1" shapeId="0">
      <text>
        <r>
          <rPr>
            <b/>
            <sz val="9"/>
            <color indexed="81"/>
            <rFont val="Tahoma"/>
            <family val="2"/>
            <charset val="238"/>
          </rPr>
          <t>Jana Holíková:</t>
        </r>
        <r>
          <rPr>
            <sz val="9"/>
            <color indexed="81"/>
            <rFont val="Tahoma"/>
            <family val="2"/>
            <charset val="238"/>
          </rPr>
          <t xml:space="preserve">
211221 +20.000</t>
        </r>
      </text>
    </comment>
    <comment ref="D752" authorId="1" shapeId="0">
      <text>
        <r>
          <rPr>
            <b/>
            <sz val="9"/>
            <color indexed="81"/>
            <rFont val="Tahoma"/>
            <family val="2"/>
            <charset val="238"/>
          </rPr>
          <t>Jana Holíková:</t>
        </r>
        <r>
          <rPr>
            <sz val="9"/>
            <color indexed="81"/>
            <rFont val="Tahoma"/>
            <family val="2"/>
            <charset val="238"/>
          </rPr>
          <t xml:space="preserve">
2111 ro121 -50.000</t>
        </r>
      </text>
    </comment>
    <comment ref="D759" authorId="1" shapeId="0">
      <text>
        <r>
          <rPr>
            <b/>
            <sz val="9"/>
            <color indexed="81"/>
            <rFont val="Tahoma"/>
            <family val="2"/>
            <charset val="238"/>
          </rPr>
          <t>Jana Holíková:</t>
        </r>
        <r>
          <rPr>
            <sz val="9"/>
            <color indexed="81"/>
            <rFont val="Tahoma"/>
            <family val="2"/>
            <charset val="238"/>
          </rPr>
          <t xml:space="preserve">
2103 ro14 -100.000
2111 ro121 -393.000
2112 ro131 +100.000</t>
        </r>
      </text>
    </comment>
    <comment ref="D760" authorId="1" shapeId="0">
      <text>
        <r>
          <rPr>
            <b/>
            <sz val="9"/>
            <color indexed="81"/>
            <rFont val="Tahoma"/>
            <family val="2"/>
            <charset val="238"/>
          </rPr>
          <t>Jana Holíková:</t>
        </r>
        <r>
          <rPr>
            <sz val="9"/>
            <color indexed="81"/>
            <rFont val="Tahoma"/>
            <family val="2"/>
            <charset val="238"/>
          </rPr>
          <t xml:space="preserve">
2103 ro11 -2.300.000</t>
        </r>
      </text>
    </comment>
    <comment ref="D762" authorId="2" shapeId="0">
      <text>
        <r>
          <rPr>
            <b/>
            <sz val="9"/>
            <color indexed="81"/>
            <rFont val="Tahoma"/>
            <family val="2"/>
            <charset val="238"/>
          </rPr>
          <t>Jana:</t>
        </r>
        <r>
          <rPr>
            <sz val="9"/>
            <color indexed="81"/>
            <rFont val="Tahoma"/>
            <family val="2"/>
            <charset val="238"/>
          </rPr>
          <t xml:space="preserve">
2105 ro48 
+6.000.000 +3.200.000
-2.000.000</t>
        </r>
      </text>
    </comment>
    <comment ref="D763" authorId="1" shapeId="0">
      <text>
        <r>
          <rPr>
            <b/>
            <sz val="9"/>
            <color indexed="81"/>
            <rFont val="Tahoma"/>
            <family val="2"/>
            <charset val="238"/>
          </rPr>
          <t>Jana Holíková:</t>
        </r>
        <r>
          <rPr>
            <sz val="9"/>
            <color indexed="81"/>
            <rFont val="Tahoma"/>
            <family val="2"/>
            <charset val="238"/>
          </rPr>
          <t xml:space="preserve">
2103 ro11 -600.000</t>
        </r>
      </text>
    </comment>
    <comment ref="D765" authorId="1" shapeId="0">
      <text>
        <r>
          <rPr>
            <b/>
            <sz val="9"/>
            <color indexed="81"/>
            <rFont val="Tahoma"/>
            <family val="2"/>
            <charset val="238"/>
          </rPr>
          <t>Jana Holíková:</t>
        </r>
        <r>
          <rPr>
            <sz val="9"/>
            <color indexed="81"/>
            <rFont val="Tahoma"/>
            <family val="2"/>
            <charset val="238"/>
          </rPr>
          <t xml:space="preserve">
211222 +20.000</t>
        </r>
      </text>
    </comment>
    <comment ref="D767" authorId="1" shapeId="0">
      <text>
        <r>
          <rPr>
            <b/>
            <sz val="9"/>
            <color indexed="81"/>
            <rFont val="Tahoma"/>
            <family val="2"/>
            <charset val="238"/>
          </rPr>
          <t>Jana Holíková:</t>
        </r>
        <r>
          <rPr>
            <sz val="9"/>
            <color indexed="81"/>
            <rFont val="Tahoma"/>
            <family val="2"/>
            <charset val="238"/>
          </rPr>
          <t xml:space="preserve">
211222 +50.000</t>
        </r>
      </text>
    </comment>
    <comment ref="D774" authorId="1" shapeId="0">
      <text>
        <r>
          <rPr>
            <b/>
            <sz val="9"/>
            <color indexed="81"/>
            <rFont val="Tahoma"/>
            <family val="2"/>
            <charset val="238"/>
          </rPr>
          <t>Jana Holíková:</t>
        </r>
        <r>
          <rPr>
            <sz val="9"/>
            <color indexed="81"/>
            <rFont val="Tahoma"/>
            <family val="2"/>
            <charset val="238"/>
          </rPr>
          <t xml:space="preserve">
211222 -70.000
2112 ro51/4 +15.000</t>
        </r>
      </text>
    </comment>
    <comment ref="D778" authorId="2" shapeId="0">
      <text>
        <r>
          <rPr>
            <b/>
            <sz val="9"/>
            <color indexed="81"/>
            <rFont val="Tahoma"/>
            <family val="2"/>
            <charset val="238"/>
          </rPr>
          <t>Jana:</t>
        </r>
        <r>
          <rPr>
            <sz val="9"/>
            <color indexed="81"/>
            <rFont val="Tahoma"/>
            <family val="2"/>
            <charset val="238"/>
          </rPr>
          <t xml:space="preserve">
2105 ro37 +10.700
2111 ro121 -70.000</t>
        </r>
      </text>
    </comment>
    <comment ref="D779" authorId="1" shapeId="0">
      <text>
        <r>
          <rPr>
            <b/>
            <sz val="9"/>
            <color indexed="81"/>
            <rFont val="Tahoma"/>
            <family val="2"/>
            <charset val="238"/>
          </rPr>
          <t>Jana Holíková:</t>
        </r>
        <r>
          <rPr>
            <sz val="9"/>
            <color indexed="81"/>
            <rFont val="Tahoma"/>
            <family val="2"/>
            <charset val="238"/>
          </rPr>
          <t xml:space="preserve">
2111 ro121 -50.000</t>
        </r>
      </text>
    </comment>
    <comment ref="D782" authorId="1" shapeId="0">
      <text>
        <r>
          <rPr>
            <b/>
            <sz val="9"/>
            <color indexed="81"/>
            <rFont val="Tahoma"/>
            <family val="2"/>
            <charset val="238"/>
          </rPr>
          <t>Jana Holíková:</t>
        </r>
        <r>
          <rPr>
            <sz val="9"/>
            <color indexed="81"/>
            <rFont val="Tahoma"/>
            <family val="2"/>
            <charset val="238"/>
          </rPr>
          <t xml:space="preserve">
2103 ro14 +48.594,03
2111 ro121 -386.000 -100.000</t>
        </r>
      </text>
    </comment>
    <comment ref="D785" authorId="1" shapeId="0">
      <text>
        <r>
          <rPr>
            <b/>
            <sz val="9"/>
            <color indexed="81"/>
            <rFont val="Tahoma"/>
            <family val="2"/>
            <charset val="238"/>
          </rPr>
          <t>Jana Holíková:</t>
        </r>
        <r>
          <rPr>
            <sz val="9"/>
            <color indexed="81"/>
            <rFont val="Tahoma"/>
            <family val="2"/>
            <charset val="238"/>
          </rPr>
          <t xml:space="preserve">
2108 ro81 +250.000
2110 ro102 +11.221
2111 ro110 +10.495</t>
        </r>
      </text>
    </comment>
    <comment ref="D788" authorId="1" shapeId="0">
      <text>
        <r>
          <rPr>
            <b/>
            <sz val="9"/>
            <color indexed="81"/>
            <rFont val="Tahoma"/>
            <family val="2"/>
            <charset val="238"/>
          </rPr>
          <t>Jana Holíková:</t>
        </r>
        <r>
          <rPr>
            <sz val="9"/>
            <color indexed="81"/>
            <rFont val="Tahoma"/>
            <family val="2"/>
            <charset val="238"/>
          </rPr>
          <t xml:space="preserve">
2103 ro17 -400.000</t>
        </r>
      </text>
    </comment>
    <comment ref="D792" authorId="1" shapeId="0">
      <text>
        <r>
          <rPr>
            <b/>
            <sz val="9"/>
            <color indexed="81"/>
            <rFont val="Tahoma"/>
            <family val="2"/>
            <charset val="238"/>
          </rPr>
          <t>Jana Holíková:</t>
        </r>
        <r>
          <rPr>
            <sz val="9"/>
            <color indexed="81"/>
            <rFont val="Tahoma"/>
            <family val="2"/>
            <charset val="238"/>
          </rPr>
          <t xml:space="preserve">
2108 ro81 +500.000</t>
        </r>
      </text>
    </comment>
    <comment ref="D794" authorId="1" shapeId="0">
      <text>
        <r>
          <rPr>
            <b/>
            <sz val="9"/>
            <color indexed="81"/>
            <rFont val="Tahoma"/>
            <family val="2"/>
            <charset val="238"/>
          </rPr>
          <t>Jana Holíková:</t>
        </r>
        <r>
          <rPr>
            <sz val="9"/>
            <color indexed="81"/>
            <rFont val="Tahoma"/>
            <family val="2"/>
            <charset val="238"/>
          </rPr>
          <t xml:space="preserve">
2103 ro17 -300.000</t>
        </r>
      </text>
    </comment>
    <comment ref="D800" authorId="2" shapeId="0">
      <text>
        <r>
          <rPr>
            <b/>
            <sz val="9"/>
            <color indexed="81"/>
            <rFont val="Tahoma"/>
            <family val="2"/>
            <charset val="238"/>
          </rPr>
          <t>Jana:</t>
        </r>
        <r>
          <rPr>
            <sz val="9"/>
            <color indexed="81"/>
            <rFont val="Tahoma"/>
            <family val="2"/>
            <charset val="238"/>
          </rPr>
          <t xml:space="preserve">
2105 ro46 +350.000
2108 ro81 +150.000</t>
        </r>
      </text>
    </comment>
    <comment ref="D815" authorId="1" shapeId="0">
      <text>
        <r>
          <rPr>
            <b/>
            <sz val="9"/>
            <color indexed="81"/>
            <rFont val="Tahoma"/>
            <family val="2"/>
            <charset val="238"/>
          </rPr>
          <t>Jana Holíková:</t>
        </r>
        <r>
          <rPr>
            <sz val="9"/>
            <color indexed="81"/>
            <rFont val="Tahoma"/>
            <family val="2"/>
            <charset val="238"/>
          </rPr>
          <t xml:space="preserve">
2103 ro17 -4.750.000
2105 ro45 +1.450.000
211109 +1.482.000,80</t>
        </r>
      </text>
    </comment>
    <comment ref="D816" authorId="1" shapeId="0">
      <text>
        <r>
          <rPr>
            <b/>
            <sz val="9"/>
            <color indexed="81"/>
            <rFont val="Tahoma"/>
            <family val="2"/>
            <charset val="238"/>
          </rPr>
          <t>Jana Holíková:</t>
        </r>
        <r>
          <rPr>
            <sz val="9"/>
            <color indexed="81"/>
            <rFont val="Tahoma"/>
            <family val="2"/>
            <charset val="238"/>
          </rPr>
          <t xml:space="preserve">
2103 ro17 -3.300.000</t>
        </r>
      </text>
    </comment>
    <comment ref="D817" authorId="1" shapeId="0">
      <text>
        <r>
          <rPr>
            <b/>
            <sz val="9"/>
            <color indexed="81"/>
            <rFont val="Tahoma"/>
            <family val="2"/>
            <charset val="238"/>
          </rPr>
          <t>Jana Holíková:</t>
        </r>
        <r>
          <rPr>
            <sz val="9"/>
            <color indexed="81"/>
            <rFont val="Tahoma"/>
            <family val="2"/>
            <charset val="238"/>
          </rPr>
          <t xml:space="preserve">
211109 -1.482.000,80</t>
        </r>
      </text>
    </comment>
    <comment ref="D818" authorId="1" shapeId="0">
      <text>
        <r>
          <rPr>
            <b/>
            <sz val="9"/>
            <color indexed="81"/>
            <rFont val="Tahoma"/>
            <family val="2"/>
            <charset val="238"/>
          </rPr>
          <t>Jana Holíková:</t>
        </r>
        <r>
          <rPr>
            <sz val="9"/>
            <color indexed="81"/>
            <rFont val="Tahoma"/>
            <family val="2"/>
            <charset val="238"/>
          </rPr>
          <t xml:space="preserve">
2112 ro123 -1.000.000</t>
        </r>
      </text>
    </comment>
    <comment ref="D819" authorId="1" shapeId="0">
      <text>
        <r>
          <rPr>
            <b/>
            <sz val="9"/>
            <color indexed="81"/>
            <rFont val="Tahoma"/>
            <family val="2"/>
            <charset val="238"/>
          </rPr>
          <t>Jana Holíková:</t>
        </r>
        <r>
          <rPr>
            <sz val="9"/>
            <color indexed="81"/>
            <rFont val="Tahoma"/>
            <family val="2"/>
            <charset val="238"/>
          </rPr>
          <t xml:space="preserve">
2103 ro17 -2.000.000</t>
        </r>
      </text>
    </comment>
    <comment ref="D820" authorId="2" shapeId="0">
      <text>
        <r>
          <rPr>
            <b/>
            <sz val="9"/>
            <color indexed="81"/>
            <rFont val="Tahoma"/>
            <family val="2"/>
            <charset val="238"/>
          </rPr>
          <t>Jana:</t>
        </r>
        <r>
          <rPr>
            <sz val="9"/>
            <color indexed="81"/>
            <rFont val="Tahoma"/>
            <family val="2"/>
            <charset val="238"/>
          </rPr>
          <t xml:space="preserve">
2105 ro46 -2.000.000</t>
        </r>
      </text>
    </comment>
    <comment ref="D821" authorId="2" shapeId="0">
      <text>
        <r>
          <rPr>
            <b/>
            <sz val="9"/>
            <color indexed="81"/>
            <rFont val="Tahoma"/>
            <family val="2"/>
            <charset val="238"/>
          </rPr>
          <t>Jana:</t>
        </r>
        <r>
          <rPr>
            <sz val="9"/>
            <color indexed="81"/>
            <rFont val="Tahoma"/>
            <family val="2"/>
            <charset val="238"/>
          </rPr>
          <t xml:space="preserve">
2105 ro46 -1.250.000</t>
        </r>
      </text>
    </comment>
    <comment ref="D822" authorId="2" shapeId="0">
      <text>
        <r>
          <rPr>
            <b/>
            <sz val="9"/>
            <color indexed="81"/>
            <rFont val="Tahoma"/>
            <family val="2"/>
            <charset val="238"/>
          </rPr>
          <t>Jana:</t>
        </r>
        <r>
          <rPr>
            <sz val="9"/>
            <color indexed="81"/>
            <rFont val="Tahoma"/>
            <family val="2"/>
            <charset val="238"/>
          </rPr>
          <t xml:space="preserve">
2105 ro46 -600.000</t>
        </r>
      </text>
    </comment>
    <comment ref="D830" authorId="2" shapeId="0">
      <text>
        <r>
          <rPr>
            <b/>
            <sz val="9"/>
            <color indexed="81"/>
            <rFont val="Tahoma"/>
            <family val="2"/>
            <charset val="238"/>
          </rPr>
          <t>Jana:</t>
        </r>
        <r>
          <rPr>
            <sz val="9"/>
            <color indexed="81"/>
            <rFont val="Tahoma"/>
            <family val="2"/>
            <charset val="238"/>
          </rPr>
          <t xml:space="preserve">
2105 ro45 -1.450.000
2112 ro123 +1.000.000</t>
        </r>
      </text>
    </comment>
    <comment ref="D841" authorId="1" shapeId="0">
      <text>
        <r>
          <rPr>
            <b/>
            <sz val="9"/>
            <color indexed="81"/>
            <rFont val="Tahoma"/>
            <family val="2"/>
            <charset val="238"/>
          </rPr>
          <t>Jana Holíková:</t>
        </r>
        <r>
          <rPr>
            <sz val="9"/>
            <color indexed="81"/>
            <rFont val="Tahoma"/>
            <family val="2"/>
            <charset val="238"/>
          </rPr>
          <t xml:space="preserve">
2108 ro81 -50.000</t>
        </r>
      </text>
    </comment>
    <comment ref="D848" authorId="1" shapeId="0">
      <text>
        <r>
          <rPr>
            <b/>
            <sz val="9"/>
            <color indexed="81"/>
            <rFont val="Tahoma"/>
            <family val="2"/>
            <charset val="238"/>
          </rPr>
          <t>Jana Holíková:</t>
        </r>
        <r>
          <rPr>
            <sz val="9"/>
            <color indexed="81"/>
            <rFont val="Tahoma"/>
            <family val="2"/>
            <charset val="238"/>
          </rPr>
          <t xml:space="preserve">
2102 ro5
+11.654,14
</t>
        </r>
      </text>
    </comment>
    <comment ref="D849" authorId="1" shapeId="0">
      <text>
        <r>
          <rPr>
            <b/>
            <sz val="9"/>
            <color indexed="81"/>
            <rFont val="Tahoma"/>
            <family val="2"/>
            <charset val="238"/>
          </rPr>
          <t>Jana Holíková:</t>
        </r>
        <r>
          <rPr>
            <sz val="9"/>
            <color indexed="81"/>
            <rFont val="Tahoma"/>
            <family val="2"/>
            <charset val="238"/>
          </rPr>
          <t xml:space="preserve">
2107 ro73 úz 13014
+22.324,68 1201
+1266.506,52 1205
</t>
        </r>
      </text>
    </comment>
    <comment ref="D850" authorId="1" shapeId="0">
      <text>
        <r>
          <rPr>
            <b/>
            <sz val="9"/>
            <color indexed="81"/>
            <rFont val="Tahoma"/>
            <family val="2"/>
            <charset val="238"/>
          </rPr>
          <t>Jana Holíková:</t>
        </r>
        <r>
          <rPr>
            <sz val="9"/>
            <color indexed="81"/>
            <rFont val="Tahoma"/>
            <family val="2"/>
            <charset val="238"/>
          </rPr>
          <t xml:space="preserve">
2108 ro75 úz 13014
+12.131,44 1201
+68.744,81 1205
</t>
        </r>
      </text>
    </comment>
    <comment ref="D851" authorId="1" shapeId="0">
      <text>
        <r>
          <rPr>
            <b/>
            <sz val="9"/>
            <color indexed="81"/>
            <rFont val="Tahoma"/>
            <family val="2"/>
            <charset val="238"/>
          </rPr>
          <t>Jana Holíková:</t>
        </r>
        <r>
          <rPr>
            <sz val="9"/>
            <color indexed="81"/>
            <rFont val="Tahoma"/>
            <family val="2"/>
            <charset val="238"/>
          </rPr>
          <t xml:space="preserve">
2107 ro73 úz 13014
+22.324,68 1201
+1266.506,52 1205
</t>
        </r>
      </text>
    </comment>
    <comment ref="D852" authorId="1" shapeId="0">
      <text>
        <r>
          <rPr>
            <b/>
            <sz val="9"/>
            <color indexed="81"/>
            <rFont val="Tahoma"/>
            <family val="2"/>
            <charset val="238"/>
          </rPr>
          <t>Jana Holíková:</t>
        </r>
        <r>
          <rPr>
            <sz val="9"/>
            <color indexed="81"/>
            <rFont val="Tahoma"/>
            <family val="2"/>
            <charset val="238"/>
          </rPr>
          <t xml:space="preserve">
2107 ro76 úz 13014
+7.536,06 1201
+42.536,06 1205
</t>
        </r>
      </text>
    </comment>
    <comment ref="D853" authorId="1" shapeId="0">
      <text>
        <r>
          <rPr>
            <b/>
            <sz val="9"/>
            <color indexed="81"/>
            <rFont val="Tahoma"/>
            <family val="2"/>
            <charset val="238"/>
          </rPr>
          <t>Jana Holíková:</t>
        </r>
        <r>
          <rPr>
            <sz val="9"/>
            <color indexed="81"/>
            <rFont val="Tahoma"/>
            <family val="2"/>
            <charset val="238"/>
          </rPr>
          <t xml:space="preserve">
2103 ro11 -131.390</t>
        </r>
      </text>
    </comment>
    <comment ref="D855" authorId="1" shapeId="0">
      <text>
        <r>
          <rPr>
            <b/>
            <sz val="9"/>
            <color indexed="81"/>
            <rFont val="Tahoma"/>
            <family val="2"/>
            <charset val="238"/>
          </rPr>
          <t>Jana Holíková:</t>
        </r>
        <r>
          <rPr>
            <sz val="9"/>
            <color indexed="81"/>
            <rFont val="Tahoma"/>
            <family val="2"/>
            <charset val="238"/>
          </rPr>
          <t xml:space="preserve">
2103 ro15 +133.612
2110 ro100 +89.896</t>
        </r>
      </text>
    </comment>
    <comment ref="D856" authorId="1" shapeId="0">
      <text>
        <r>
          <rPr>
            <b/>
            <sz val="9"/>
            <color indexed="81"/>
            <rFont val="Tahoma"/>
            <family val="2"/>
            <charset val="238"/>
          </rPr>
          <t>Jana Holíková:</t>
        </r>
        <r>
          <rPr>
            <sz val="9"/>
            <color indexed="81"/>
            <rFont val="Tahoma"/>
            <family val="2"/>
            <charset val="238"/>
          </rPr>
          <t xml:space="preserve">
2107 ro61 +140.000</t>
        </r>
      </text>
    </comment>
    <comment ref="D858" authorId="1" shapeId="0">
      <text>
        <r>
          <rPr>
            <b/>
            <sz val="9"/>
            <color indexed="81"/>
            <rFont val="Tahoma"/>
            <family val="2"/>
            <charset val="238"/>
          </rPr>
          <t>Jana Holíková:</t>
        </r>
        <r>
          <rPr>
            <sz val="9"/>
            <color indexed="81"/>
            <rFont val="Tahoma"/>
            <family val="2"/>
            <charset val="238"/>
          </rPr>
          <t xml:space="preserve">
2112 ro51/4 
+53.917 +50.000</t>
        </r>
      </text>
    </comment>
    <comment ref="D860" authorId="2" shapeId="0">
      <text>
        <r>
          <rPr>
            <b/>
            <sz val="9"/>
            <color indexed="81"/>
            <rFont val="Tahoma"/>
            <family val="2"/>
            <charset val="238"/>
          </rPr>
          <t>Jana:</t>
        </r>
        <r>
          <rPr>
            <sz val="9"/>
            <color indexed="81"/>
            <rFont val="Tahoma"/>
            <family val="2"/>
            <charset val="238"/>
          </rPr>
          <t xml:space="preserve">
2105 ro47 -1.962.450
2109 ro47/1 
+1.962.450-1.962.250</t>
        </r>
      </text>
    </comment>
    <comment ref="D861" authorId="1" shapeId="0">
      <text>
        <r>
          <rPr>
            <b/>
            <sz val="9"/>
            <color indexed="81"/>
            <rFont val="Tahoma"/>
            <family val="2"/>
            <charset val="238"/>
          </rPr>
          <t>Jana Holíková:</t>
        </r>
        <r>
          <rPr>
            <sz val="9"/>
            <color indexed="81"/>
            <rFont val="Tahoma"/>
            <family val="2"/>
            <charset val="238"/>
          </rPr>
          <t xml:space="preserve">
2108 ro51/1 +7.000.000
2112 ro51/3 -1.607.623</t>
        </r>
      </text>
    </comment>
    <comment ref="D863" authorId="2" shapeId="0">
      <text>
        <r>
          <rPr>
            <b/>
            <sz val="9"/>
            <color indexed="81"/>
            <rFont val="Tahoma"/>
            <family val="2"/>
            <charset val="238"/>
          </rPr>
          <t>Jana:</t>
        </r>
        <r>
          <rPr>
            <sz val="9"/>
            <color indexed="81"/>
            <rFont val="Tahoma"/>
            <family val="2"/>
            <charset val="238"/>
          </rPr>
          <t xml:space="preserve">
2110 ro96 33063 1031,5
+452,24 +2562,76
</t>
        </r>
      </text>
    </comment>
    <comment ref="D864" authorId="2" shapeId="0">
      <text>
        <r>
          <rPr>
            <b/>
            <sz val="9"/>
            <color indexed="81"/>
            <rFont val="Tahoma"/>
            <family val="2"/>
            <charset val="238"/>
          </rPr>
          <t>Jana:</t>
        </r>
        <r>
          <rPr>
            <sz val="9"/>
            <color indexed="81"/>
            <rFont val="Tahoma"/>
            <family val="2"/>
            <charset val="238"/>
          </rPr>
          <t xml:space="preserve">
2106 ro58 +16.912
</t>
        </r>
      </text>
    </comment>
    <comment ref="D865" authorId="2" shapeId="0">
      <text>
        <r>
          <rPr>
            <b/>
            <sz val="9"/>
            <color indexed="81"/>
            <rFont val="Tahoma"/>
            <family val="2"/>
            <charset val="238"/>
          </rPr>
          <t>Jana:</t>
        </r>
        <r>
          <rPr>
            <sz val="9"/>
            <color indexed="81"/>
            <rFont val="Tahoma"/>
            <family val="2"/>
            <charset val="238"/>
          </rPr>
          <t xml:space="preserve">
2111 ro113 33063 1031,5</t>
        </r>
      </text>
    </comment>
    <comment ref="D866" authorId="1" shapeId="0">
      <text>
        <r>
          <rPr>
            <b/>
            <sz val="9"/>
            <color indexed="81"/>
            <rFont val="Tahoma"/>
            <family val="2"/>
            <charset val="238"/>
          </rPr>
          <t>Jana Holíková:</t>
        </r>
        <r>
          <rPr>
            <sz val="9"/>
            <color indexed="81"/>
            <rFont val="Tahoma"/>
            <family val="2"/>
            <charset val="238"/>
          </rPr>
          <t xml:space="preserve">
2102 ro8 +5.719</t>
        </r>
      </text>
    </comment>
    <comment ref="D867" authorId="1" shapeId="0">
      <text>
        <r>
          <rPr>
            <b/>
            <sz val="9"/>
            <color indexed="81"/>
            <rFont val="Tahoma"/>
            <family val="2"/>
            <charset val="238"/>
          </rPr>
          <t>Jana Holíková:</t>
        </r>
        <r>
          <rPr>
            <sz val="9"/>
            <color indexed="81"/>
            <rFont val="Tahoma"/>
            <family val="2"/>
            <charset val="238"/>
          </rPr>
          <t xml:space="preserve">
2103 ro16 +14.168,64</t>
        </r>
      </text>
    </comment>
    <comment ref="D869" authorId="1" shapeId="0">
      <text>
        <r>
          <rPr>
            <b/>
            <sz val="9"/>
            <color indexed="81"/>
            <rFont val="Tahoma"/>
            <family val="2"/>
            <charset val="238"/>
          </rPr>
          <t>Jana Holíková:</t>
        </r>
        <r>
          <rPr>
            <sz val="9"/>
            <color indexed="81"/>
            <rFont val="Tahoma"/>
            <family val="2"/>
            <charset val="238"/>
          </rPr>
          <t xml:space="preserve">
2102 ro5 +1.037.625,27
2102 ro6 +         800
2102 ro8 -       5.719
2102 ro9 +2.888.353,24
2102 ro10 -  133.544,53
2103 ro11 +240.528,48
2103 ro12 -263.145,58
2103 RO14 +51.405,97
2103 ro15 -133.612
2103 ro16 -74.168,64
2103 ro17 +2.168.620
2103 ro19 -500.000 
2103 ro21 -79.385
2103 ro22 -267.145
2103 ro23 -213.939
2103 ro25 -2.000.000
2103 ro27 -100.000-100.000
2103 ro28 -50.000-50.000
2104 ro29 +1.380
2104 ro32 +84.689,93
2104 ro33 +1.267
2104 ro28 opr +150.000
2105 ro37 -500.000
2105 ro38 
+2.000.000 +1.000.000 +300.000
2105 ro41 +8.000.000
2105 ro42 +1.026.933,11
2106 ro54 +167.860
2106 ro51 +1.785.909,91
_____________________
1.pol.      +17.434.714,16
2107 ro61 -140.000
2107 ro62 +186.960
2107 ro63 +320.000
2107 ro64 +65.339,83
2107 ro65 +4.013.693,68
2107 ro74 +244.970,18
2108 ro78 -1.999.529,39
2108 ro81 
-2.810.000 +1.679.963 +1.500.000 +12.500.000 +50.000 +80.000
2108 ro 51/1 
-7.122.194 +1.325.016,84 +1.325.016,84
2109 RO82 -100.000
2109 ro85 -87.530
2109 ro87 +499.000
2109 ro89 +397.841,81
2109 ro90 +89.658,30
2109 ro51/2 +25.286.350
2110 ro94 +1.496.251,56
2110 ro97 +1.681 
2110 ro98 +1.129.135,83
2110 ro99 +411.753,45
2110 ro100 -89.896
2110 -15.000.000
2110 ro106 +766.001,80
2110 ro107 +219.366,52
2111 ro108 -3.905.942,92
2111 ro110 +63.744
2111 ro114 -272.169,76
2111 ro115 +208.529
2111 ro116 +2.136.350,91
2111 ro117 +644.666,09
2111 ro118 +4.672.567,33
2111 ro119 +50.959,71
2111 ro120 +9.406.511,28
2111 ro121
+150.000 +70.000 +100.000 +100.000 +11.240 +360.000 +8.530.260 +393.000 +386.000 +100.000 +669.130
2111 ro106úpr
-766.001,80 +695005,27
2112 ro122 -80.000
2112 ro124 -30.000
2112 ro128 +3 +1.120.000
2112 ro129 +1.000.000
2112 ro130
+1.200.000 +422.772,30
2112 ro131 +600.000 +70.996,53
2112 ro132 +971,25
2112 ro133 +3.600
2112 úz51/3 
-200.000 -1.000.000 -37.709,65 +1.559.529,04 -5.500.000 +163.593,94 (úz13011) +407.279,26 -6.000.000 +26.459,90
2112 ro137 +31.689
2112 ro51/4 -8.814.047,70
2112 ro51/5 
+14.887,10 -3.600</t>
        </r>
      </text>
    </comment>
    <comment ref="D870" authorId="1" shapeId="0">
      <text>
        <r>
          <rPr>
            <b/>
            <sz val="9"/>
            <color indexed="81"/>
            <rFont val="Tahoma"/>
            <family val="2"/>
            <charset val="238"/>
          </rPr>
          <t>Jana Holíková:</t>
        </r>
        <r>
          <rPr>
            <sz val="9"/>
            <color indexed="81"/>
            <rFont val="Tahoma"/>
            <family val="2"/>
            <charset val="238"/>
          </rPr>
          <t xml:space="preserve">
2108 ro81 -80.000 §6409
2108 ro51/1 +2.194 §6409</t>
        </r>
      </text>
    </comment>
  </commentList>
</comments>
</file>

<file path=xl/sharedStrings.xml><?xml version="1.0" encoding="utf-8"?>
<sst xmlns="http://schemas.openxmlformats.org/spreadsheetml/2006/main" count="3907" uniqueCount="1092">
  <si>
    <t>Výdaje celkem</t>
  </si>
  <si>
    <r>
      <t xml:space="preserve">            členství města ve svazech a sdruž. </t>
    </r>
    <r>
      <rPr>
        <sz val="9"/>
        <rFont val="Arial CE"/>
        <charset val="238"/>
      </rPr>
      <t>(org.1010): r. 2020: Partnerství pro městskou mobilitu (bývalá Asociace cykloměst) 5, MAS Lašsko 80, Národní síť zdravých měst 44,7735, Svaz měst a obcí 76,89776, Sdružení historických sídel 28,195, EUROREGION SILESIA-CZ 58,74, ...)</t>
    </r>
  </si>
  <si>
    <t xml:space="preserve">z toho: rozpočtová rezerva </t>
  </si>
  <si>
    <t>Ostatní činnosti j.n.</t>
  </si>
  <si>
    <t xml:space="preserve">            vratka části nevyčerpané neinv.dotace 2019 OP VVV - Šablony I - ZŠ+MŠ Jub </t>
  </si>
  <si>
    <t xml:space="preserve">            vratka části nevyčerpané neinv.dotace 2019 OP VVV - Šablony I - MŠ Trojlístek</t>
  </si>
  <si>
    <t xml:space="preserve">z toho: vratka části nevyčerpané neinv.dotace 2019 Program na podporu zvýšení kvality soc.služeb poskytovaných v MSK </t>
  </si>
  <si>
    <t xml:space="preserve">Finanční vypořádání minulých let </t>
  </si>
  <si>
    <t xml:space="preserve">             daň z přidané hodnoty za obec </t>
  </si>
  <si>
    <r>
      <t xml:space="preserve">z toho: daň z příjmů právnických osob za obec </t>
    </r>
    <r>
      <rPr>
        <sz val="9"/>
        <rFont val="Arial CE"/>
        <charset val="238"/>
      </rPr>
      <t>(stejná výše je uvedena i v příjmech na pol. 1122)</t>
    </r>
  </si>
  <si>
    <t>Ostatní finanční operace</t>
  </si>
  <si>
    <r>
      <t>Výdaje z finančních operací</t>
    </r>
    <r>
      <rPr>
        <b/>
        <sz val="9"/>
        <rFont val="Arial CE"/>
        <charset val="238"/>
      </rPr>
      <t xml:space="preserve"> </t>
    </r>
    <r>
      <rPr>
        <sz val="9"/>
        <rFont val="Arial CE"/>
        <charset val="238"/>
      </rPr>
      <t>(bankovní poplatky za vedení účtů a položky)</t>
    </r>
  </si>
  <si>
    <r>
      <t xml:space="preserve">Činnost místní správy </t>
    </r>
    <r>
      <rPr>
        <sz val="9"/>
        <rFont val="Arial CE"/>
        <charset val="238"/>
      </rPr>
      <t>(2020 i 2021: daňové poradenství+odb.konzultace 200)</t>
    </r>
  </si>
  <si>
    <r>
      <t xml:space="preserve">z toho: platby daní a poplatků </t>
    </r>
    <r>
      <rPr>
        <sz val="9"/>
        <rFont val="Arial CE"/>
        <charset val="238"/>
      </rPr>
      <t>(soudní poplatky, realizace exekucí, ...)</t>
    </r>
  </si>
  <si>
    <t>Komunální služby a územní rozvoj</t>
  </si>
  <si>
    <r>
      <t>Finanční vypořádání Veolia Energie ČR</t>
    </r>
    <r>
      <rPr>
        <b/>
        <sz val="9"/>
        <rFont val="Arial CE"/>
        <charset val="238"/>
      </rPr>
      <t xml:space="preserve"> </t>
    </r>
    <r>
      <rPr>
        <sz val="9"/>
        <rFont val="Arial CE"/>
        <charset val="238"/>
      </rPr>
      <t>(dle fakturace skutečně odebraného množství GJ 2016-2018)</t>
    </r>
  </si>
  <si>
    <r>
      <t>Ostatní výdaje z finančního vypořádání</t>
    </r>
    <r>
      <rPr>
        <sz val="9"/>
        <rFont val="Arial CE"/>
        <charset val="238"/>
      </rPr>
      <t xml:space="preserve"> (vyrovnání ztráty 2019-MěKS)</t>
    </r>
  </si>
  <si>
    <r>
      <t>Ostatní výdaje z finančního vypořádání</t>
    </r>
    <r>
      <rPr>
        <sz val="9"/>
        <rFont val="Arial CE"/>
        <charset val="238"/>
      </rPr>
      <t xml:space="preserve"> (vyrovnání ztráty 2018-Beskydské divadlo)</t>
    </r>
  </si>
  <si>
    <r>
      <t xml:space="preserve">Odvádění odpadních vod </t>
    </r>
    <r>
      <rPr>
        <sz val="9"/>
        <rFont val="Arial CE"/>
        <charset val="238"/>
      </rPr>
      <t>(2020: splátky úvěru 605.212,92 Kč (na pol. 8901), úrok z úvěru 12.860,75 Kč, poměrná část 25% na provoz DSO dle mandátní smlouvy 242,5,                                                                                                                                                                                                                                                                              2021: splátky úvěru 605.212,92 Kč, úrok z úvěru 6.808,62 Kč, poměrná část 25% na provoz DSO dle mandátní smlouvy 242,5)</t>
    </r>
  </si>
  <si>
    <r>
      <t>231410/741/</t>
    </r>
    <r>
      <rPr>
        <b/>
        <sz val="9"/>
        <rFont val="Arial CE"/>
        <charset val="238"/>
      </rPr>
      <t>2321</t>
    </r>
    <r>
      <rPr>
        <sz val="9"/>
        <rFont val="Arial CE"/>
        <charset val="238"/>
      </rPr>
      <t>/5329                                                                                                                                                                                                                                                                                                                                                                                                                                                                                                                         231440/741/</t>
    </r>
    <r>
      <rPr>
        <b/>
        <sz val="9"/>
        <rFont val="Arial CE"/>
        <charset val="238"/>
      </rPr>
      <t>2321</t>
    </r>
    <r>
      <rPr>
        <sz val="9"/>
        <rFont val="Arial CE"/>
        <charset val="238"/>
      </rPr>
      <t>/5169</t>
    </r>
  </si>
  <si>
    <t>ORJ 741 - Odbor finanční</t>
  </si>
  <si>
    <r>
      <t xml:space="preserve">Dotace, návratné finanční výpomoci a dary cizím subjektům </t>
    </r>
    <r>
      <rPr>
        <sz val="9"/>
        <rFont val="Arial CE"/>
        <charset val="238"/>
      </rPr>
      <t>(estetizace)</t>
    </r>
  </si>
  <si>
    <t>041 - Dotace, návratné finanční výpomoci a dary cizím subjektům</t>
  </si>
  <si>
    <t xml:space="preserve">            změny územního plánu města</t>
  </si>
  <si>
    <t>z toho: územní studie</t>
  </si>
  <si>
    <t>Územní plánování</t>
  </si>
  <si>
    <t xml:space="preserve">             platby daní a poplatků státnímu rozpočtu</t>
  </si>
  <si>
    <r>
      <t xml:space="preserve">             nákup ostatních služeb </t>
    </r>
    <r>
      <rPr>
        <sz val="9"/>
        <rFont val="Arial CE"/>
        <charset val="238"/>
      </rPr>
      <t>(revize, odborné služby, doprava aj.)</t>
    </r>
  </si>
  <si>
    <r>
      <t xml:space="preserve">z toho: konzultační, poradenské a právní služby </t>
    </r>
    <r>
      <rPr>
        <sz val="9"/>
        <rFont val="Arial CE"/>
        <charset val="238"/>
      </rPr>
      <t>(znalecké posudky)</t>
    </r>
  </si>
  <si>
    <r>
      <t xml:space="preserve">Ostatní správa v průmyslu, stavebnictví, obchodu a službách </t>
    </r>
    <r>
      <rPr>
        <sz val="9"/>
        <rFont val="Arial CE"/>
        <family val="2"/>
        <charset val="238"/>
      </rPr>
      <t>(stavební úřad)</t>
    </r>
  </si>
  <si>
    <t>ORJ 040 - Odbor územního plánování a stavebního řádu</t>
  </si>
  <si>
    <t xml:space="preserve">            Průkazy energetické náročnosti </t>
  </si>
  <si>
    <t xml:space="preserve">            Optimalizace domovních jističů a VO dle PD</t>
  </si>
  <si>
    <t xml:space="preserve">            Energetické audity (PENB, měření jističů)</t>
  </si>
  <si>
    <t>z toho: komplexní řízení energetiky - energ. management PORSENA</t>
  </si>
  <si>
    <t>Činnost místní správy</t>
  </si>
  <si>
    <t xml:space="preserve">            Azylový dům Straník (PD - oprava vnitřních prostor)</t>
  </si>
  <si>
    <t xml:space="preserve">            Azylový dům Nový Jičín (odvlhčení, vstupní dveře, brána)</t>
  </si>
  <si>
    <r>
      <t>z toho: opravy a údržba celkem</t>
    </r>
    <r>
      <rPr>
        <sz val="9"/>
        <rFont val="Arial"/>
        <family val="2"/>
        <charset val="238"/>
      </rPr>
      <t xml:space="preserve"> (nejnutnější akce)                                                                                     </t>
    </r>
  </si>
  <si>
    <t>Azylové domy, nízkoprahová denní centra a noclehárny</t>
  </si>
  <si>
    <r>
      <t xml:space="preserve">Osobní asistence, pečovatelská služba a podpora samostatného bydlení </t>
    </r>
    <r>
      <rPr>
        <sz val="10"/>
        <rFont val="Arial"/>
        <family val="2"/>
        <charset val="238"/>
      </rPr>
      <t>(DPS-telefony, AÚ 0800)</t>
    </r>
  </si>
  <si>
    <t xml:space="preserve">             Dodávka 62 ks nerezových zásobníků teplé vody  do kotelen a odběrných předávacích stanic v domech</t>
  </si>
  <si>
    <t xml:space="preserve">             Rekonstrukce teplovod ul. Nádražní 21,23,26 v úseku 140 m</t>
  </si>
  <si>
    <t xml:space="preserve">             Modernizace kotelny Hotel Praha (org.0516 pol.6122)</t>
  </si>
  <si>
    <t xml:space="preserve">             Modernizace kotelny K Nemocnici (org.0516 pol.6122)</t>
  </si>
  <si>
    <t xml:space="preserve">             Modernizace kotelny Dlouhá (org.0516 pol.6122)</t>
  </si>
  <si>
    <t xml:space="preserve">             Modernizace kotelny Poděbradova (org.0516 pol.6122)</t>
  </si>
  <si>
    <t xml:space="preserve">             Projektová dokumentace 2 teplovodů Loučka 6, I. Etapa a II. Etapa</t>
  </si>
  <si>
    <t xml:space="preserve">             Projektové dokumentace 4 kotelen a teplovodu  (Mendelova, Luční 2,3,4 a teplovod Loučka 6) </t>
  </si>
  <si>
    <t xml:space="preserve">z toho: investice celkem </t>
  </si>
  <si>
    <t xml:space="preserve">             opravy kotelen - sanace, opravy střechy, omítek (dosud hrazeno z 3613)</t>
  </si>
  <si>
    <t xml:space="preserve">             nepředvídané opravy tepelného hospodářství</t>
  </si>
  <si>
    <t>z toho:  nákup služeb - obsluha a revize kotelny Hotelu Praha + Suvorovova 152, revize  pol. 5169</t>
  </si>
  <si>
    <r>
      <t xml:space="preserve">Lokální zásobování teplem </t>
    </r>
    <r>
      <rPr>
        <sz val="10"/>
        <rFont val="Arial"/>
        <family val="2"/>
        <charset val="238"/>
      </rPr>
      <t>(tepelné hospodářství)</t>
    </r>
  </si>
  <si>
    <t>Kojetín 7 - dílčí oprava objektu dle projektové dokumentace</t>
  </si>
  <si>
    <t>Žilina</t>
  </si>
  <si>
    <t>Bludovice 13 - 2020 = běžné opravy</t>
  </si>
  <si>
    <t>SK Straník 147 (oprava střechy)</t>
  </si>
  <si>
    <t>Straník 80 (vnitřní elektroinstalace, výmalba)</t>
  </si>
  <si>
    <t xml:space="preserve">Osadní výbory celkem:                                                                                       </t>
  </si>
  <si>
    <t xml:space="preserve">                                      Hűcklovy vily (oprava a údržba do doby rekonstrukce)</t>
  </si>
  <si>
    <t xml:space="preserve">                                      Hotel Praha běžná údržba (světlík střecha PD)</t>
  </si>
  <si>
    <t xml:space="preserve">                                      Beskydská 274 - zadání PD odvlhčení objektu, výměna vstupních dveří</t>
  </si>
  <si>
    <t xml:space="preserve">                                      Hala stolního tenisu zadání PD na odvodnění - havarijní stav</t>
  </si>
  <si>
    <t xml:space="preserve">                                      Krytá stání Loučka (nepředvídané opravy)</t>
  </si>
  <si>
    <t xml:space="preserve">                                      Msgr. Šrámka 13 - oprava el.instalace, odvlhčení objektu)</t>
  </si>
  <si>
    <t xml:space="preserve">                          - akce úsek 6 celkem:</t>
  </si>
  <si>
    <t xml:space="preserve">                          - běžné opravy a údržba:</t>
  </si>
  <si>
    <r>
      <t xml:space="preserve">             </t>
    </r>
    <r>
      <rPr>
        <b/>
        <i/>
        <sz val="10"/>
        <rFont val="Arial"/>
        <family val="2"/>
        <charset val="238"/>
      </rPr>
      <t>úsek 6 (p. Friedecká):</t>
    </r>
    <r>
      <rPr>
        <sz val="10"/>
        <rFont val="Arial"/>
        <family val="2"/>
        <charset val="238"/>
      </rPr>
      <t xml:space="preserve"> </t>
    </r>
  </si>
  <si>
    <t xml:space="preserve">                           Sokolovská 9 - PD - fasády + sanace domu </t>
  </si>
  <si>
    <t xml:space="preserve">                           Tyršova 8 - oprava podlah, oprava radiátorů Reha komplex</t>
  </si>
  <si>
    <t xml:space="preserve">                           MN 15 - jídelna, doplnění o vzduchotechniku</t>
  </si>
  <si>
    <t xml:space="preserve">                           Sokolovská 9:   2020 = generální oprava střechy </t>
  </si>
  <si>
    <t xml:space="preserve">                         - akce úsek 5 celkem:</t>
  </si>
  <si>
    <t xml:space="preserve">                         - běžné opravy a údržba:</t>
  </si>
  <si>
    <t xml:space="preserve">             úsek 5 (p. Saksová):</t>
  </si>
  <si>
    <t xml:space="preserve">Opravy a údržba NP celkem </t>
  </si>
  <si>
    <t xml:space="preserve">            Hűckelovy vily - elektronické zabezpečení SBI + revize AÚ 0437, pol. 5169</t>
  </si>
  <si>
    <t xml:space="preserve">            Hűckelovy vily - internetové připojení AÚ 0800, pol.5161</t>
  </si>
  <si>
    <t xml:space="preserve">            TSM - požadavky Redmine, OB příspěvek - AÚ 0800, pol. 5169)</t>
  </si>
  <si>
    <t xml:space="preserve">            provoz veřejných WC+WC u letního kina (obojí TSM 1550) AÚ 0800</t>
  </si>
  <si>
    <t xml:space="preserve">            dohody+odvody - Bludovice, Straník, Kojetín</t>
  </si>
  <si>
    <t xml:space="preserve">            služby + revize org. 8518  Hűckelovy vily    dohody+odvody, revize EZS </t>
  </si>
  <si>
    <t xml:space="preserve">            služby + revize  org. 5518 Kulturní a společenský dům</t>
  </si>
  <si>
    <t xml:space="preserve">            služby + revize org. 0518 - nebytové domy (ČOV apod.)</t>
  </si>
  <si>
    <t xml:space="preserve">            Slovanská 3 - studie využitelnosti pro ZŠ Tyršova</t>
  </si>
  <si>
    <t xml:space="preserve">            Demolice objektů:  garáž  Žižkova, </t>
  </si>
  <si>
    <t xml:space="preserve">Nákup ostatních služeb + provoz:  </t>
  </si>
  <si>
    <t xml:space="preserve">            - elektřina  (1500+20+80+100)</t>
  </si>
  <si>
    <t xml:space="preserve">            - plyn - org. 0518</t>
  </si>
  <si>
    <t xml:space="preserve">            - dodávka tepla - org. 0518</t>
  </si>
  <si>
    <t xml:space="preserve">            - vodné a stočné (480+200+120)</t>
  </si>
  <si>
    <r>
      <t xml:space="preserve">Náklady na energie - </t>
    </r>
    <r>
      <rPr>
        <sz val="10"/>
        <rFont val="Arial"/>
        <family val="2"/>
        <charset val="238"/>
      </rPr>
      <t>org. 0518, 2518, 8518, 5518</t>
    </r>
  </si>
  <si>
    <t>Nákup zboží (paragony)- pol. 5139</t>
  </si>
  <si>
    <t>Nákup DHDM pro org. 0518 - pol. 5137</t>
  </si>
  <si>
    <t xml:space="preserve">              Hotel Praha - WC u zadního vchodu PD vč.realizace </t>
  </si>
  <si>
    <t xml:space="preserve">              Hoblíkova - vybudování sestavy kontejnerů  a oprava garáže pro TS NJ vč. IS a zabezpečovacího systému </t>
  </si>
  <si>
    <t xml:space="preserve">              Vybudování Spolkového domu Žilina</t>
  </si>
  <si>
    <t xml:space="preserve">              Kulturní dům - vybudování trafostanice pro KD</t>
  </si>
  <si>
    <t xml:space="preserve">              Kulturní a společenský dům PD - II.etapa příslib ZM 3.6.2019 = 44 mil. Kč)</t>
  </si>
  <si>
    <t xml:space="preserve">              Hückelovy vily - zpracování studií vily J. Hückela, aktualizace vily  A. Hückela, studie areálu, spoluúčast na dotačních titulech</t>
  </si>
  <si>
    <t>Investice celkem:</t>
  </si>
  <si>
    <t>Nebytové hospodářství</t>
  </si>
  <si>
    <t xml:space="preserve">             TSM  - požadavky Redmine, OB příspěvek - AÚ 0437, po. 5169</t>
  </si>
  <si>
    <r>
      <t xml:space="preserve">             náklady na </t>
    </r>
    <r>
      <rPr>
        <b/>
        <sz val="10"/>
        <rFont val="Arial"/>
        <family val="2"/>
        <charset val="238"/>
      </rPr>
      <t>energie</t>
    </r>
    <r>
      <rPr>
        <sz val="10"/>
        <rFont val="Arial"/>
        <family val="2"/>
        <charset val="238"/>
      </rPr>
      <t xml:space="preserve"> v bytových domech (vodné + stočné, teplo + TUV, plyn, elektřina)</t>
    </r>
  </si>
  <si>
    <t xml:space="preserve">             příspěvek do fondu oprav v SVJ (kotelny Vančurova 16) (AÚ 0437, pol. 5192)</t>
  </si>
  <si>
    <r>
      <t xml:space="preserve">             </t>
    </r>
    <r>
      <rPr>
        <b/>
        <sz val="10"/>
        <rFont val="Arial"/>
        <family val="2"/>
        <charset val="238"/>
      </rPr>
      <t>služby</t>
    </r>
    <r>
      <rPr>
        <sz val="10"/>
        <rFont val="Arial"/>
        <family val="2"/>
        <charset val="238"/>
      </rPr>
      <t xml:space="preserve"> org. 0518 + 7518 (projektové dokumentace na opravy, úklidy,revize,výtahy, hasící technika,odečty,poruch.služba,fekálie,deratizace,čištění kanalizace,komíny, SBI - revize EPS EZS,...)</t>
    </r>
  </si>
  <si>
    <t xml:space="preserve">             domovníci (mzdy a odvody, AÚ 0800)</t>
  </si>
  <si>
    <t xml:space="preserve">                                      Opravy obsazených bytů (dle žádostí nájemců) </t>
  </si>
  <si>
    <t xml:space="preserve">                                      Resslova 1 - výměna oken a oprava fasády PD </t>
  </si>
  <si>
    <t xml:space="preserve">                         - akce úsek 4 celkem: </t>
  </si>
  <si>
    <t xml:space="preserve">                         - běžná údržba a opravy, výměny zařizovacích předmětů </t>
  </si>
  <si>
    <r>
      <t xml:space="preserve">            </t>
    </r>
    <r>
      <rPr>
        <b/>
        <i/>
        <sz val="10"/>
        <rFont val="Arial"/>
        <family val="2"/>
        <charset val="238"/>
      </rPr>
      <t xml:space="preserve"> úsek 4 - MPR (p. Saksová):  </t>
    </r>
  </si>
  <si>
    <t xml:space="preserve">                          - běžná údržba, nepředvídatelné opravy</t>
  </si>
  <si>
    <r>
      <t xml:space="preserve">             </t>
    </r>
    <r>
      <rPr>
        <b/>
        <i/>
        <sz val="10"/>
        <rFont val="Arial"/>
        <family val="2"/>
        <charset val="238"/>
      </rPr>
      <t>úsek 3 (p. Pavelka):</t>
    </r>
  </si>
  <si>
    <t xml:space="preserve">                             DPS U Jičínky - oprava střechy (havarijní stav) </t>
  </si>
  <si>
    <t xml:space="preserve">                             DPS Pod Lipami, Revoluční, U Jičínky - porevizní opravy hromosvodů </t>
  </si>
  <si>
    <t xml:space="preserve">                          - akce úsek 2 celkem:</t>
  </si>
  <si>
    <t xml:space="preserve">                          - běžná údržba a opravy, výměny zař. předmětů </t>
  </si>
  <si>
    <r>
      <t xml:space="preserve">             </t>
    </r>
    <r>
      <rPr>
        <b/>
        <i/>
        <sz val="10"/>
        <rFont val="Arial"/>
        <family val="2"/>
        <charset val="238"/>
      </rPr>
      <t>úsek 2 (p. Bartoňová):</t>
    </r>
    <r>
      <rPr>
        <sz val="10"/>
        <rFont val="Arial"/>
        <family val="2"/>
        <charset val="238"/>
      </rPr>
      <t xml:space="preserve"> </t>
    </r>
  </si>
  <si>
    <t xml:space="preserve">                             Dlouhá 19 - oprava celé střechny (havarijní stav)</t>
  </si>
  <si>
    <t xml:space="preserve">                             Suvorovova 120+122 - výmalba sp. prostor, oprava omítek chodby a schodiště, výměna PVC na schodišti </t>
  </si>
  <si>
    <t xml:space="preserve">                          - akce úsek 1 celkem:</t>
  </si>
  <si>
    <r>
      <t xml:space="preserve">             </t>
    </r>
    <r>
      <rPr>
        <b/>
        <i/>
        <sz val="10"/>
        <rFont val="Arial"/>
        <family val="2"/>
        <charset val="238"/>
      </rPr>
      <t>úsek 1 (p. Najvarová):</t>
    </r>
    <r>
      <rPr>
        <sz val="10"/>
        <rFont val="Arial"/>
        <family val="2"/>
        <charset val="238"/>
      </rPr>
      <t xml:space="preserve">  - navýšeno o úsek Pavelky</t>
    </r>
  </si>
  <si>
    <t xml:space="preserve">                          - generální opravy bytů v MPR</t>
  </si>
  <si>
    <t xml:space="preserve">                          - generální opravy volných bytů (vrácené byty zdevastované nebo po exekucích) - Rámcová smlouva 23 mil.Kč/4 roky</t>
  </si>
  <si>
    <t xml:space="preserve">             Bytový fond města - společné opravy:  </t>
  </si>
  <si>
    <t xml:space="preserve">z toho: opravy a údržba celkem  </t>
  </si>
  <si>
    <t xml:space="preserve">             Bytový dům K Archivu 2, NJ - realizace dle PD (2021-2022) vč. dozorů (úvěr)</t>
  </si>
  <si>
    <t xml:space="preserve">             Na Lani 212  revitalizace bytového domu,  realizace akce vč. Dozorů- dotace 3.605.622,22</t>
  </si>
  <si>
    <t xml:space="preserve">             Zborovská 11 revitalizace bytového domu, relizace akce včetně zasklení lodžií vč. dozorů - dotace 5.992.790,43</t>
  </si>
  <si>
    <t xml:space="preserve">             Bytový dům K archívu 2, NJ - PD pro realizaci </t>
  </si>
  <si>
    <t>z toho: investice celkem</t>
  </si>
  <si>
    <t>Bytové hospodářství</t>
  </si>
  <si>
    <t xml:space="preserve">            - oprava kanalizační přípojky - 60 m</t>
  </si>
  <si>
    <t xml:space="preserve">            - oprava venkovních schodů a opěrné zídky </t>
  </si>
  <si>
    <t xml:space="preserve">            - nepředvídatelné výdaje </t>
  </si>
  <si>
    <t xml:space="preserve">z toho: opravy a udržování celkem </t>
  </si>
  <si>
    <t xml:space="preserve">             - SBI - zabezpečovací systém MP</t>
  </si>
  <si>
    <t xml:space="preserve">             - dotace Hokejovému klubu, z.s. (provoz+energie)         AÚ 437</t>
  </si>
  <si>
    <t>z toho: provoz celkem</t>
  </si>
  <si>
    <t xml:space="preserve">             - Cvičná brankářská střelnice pro hokejisty - PD a realizace</t>
  </si>
  <si>
    <r>
      <t xml:space="preserve">   </t>
    </r>
    <r>
      <rPr>
        <b/>
        <i/>
        <u/>
        <sz val="10"/>
        <rFont val="Arial"/>
        <family val="2"/>
        <charset val="238"/>
      </rPr>
      <t>Zimní stadión</t>
    </r>
    <r>
      <rPr>
        <b/>
        <i/>
        <sz val="10"/>
        <rFont val="Arial"/>
        <family val="2"/>
        <charset val="238"/>
      </rPr>
      <t>: org. 0522</t>
    </r>
  </si>
  <si>
    <t xml:space="preserve">          - SBI - zabezpečovací systém MP</t>
  </si>
  <si>
    <t xml:space="preserve">          - elektřina - přečerpávací šachta</t>
  </si>
  <si>
    <r>
      <t xml:space="preserve">          - dotace Basketbalovému klubu, z.s. (provoz+energie)          AÚ 437  </t>
    </r>
    <r>
      <rPr>
        <sz val="8"/>
        <rFont val="Arial"/>
        <family val="2"/>
        <charset val="238"/>
      </rPr>
      <t>navyšeno o 600 tis. - koberec</t>
    </r>
  </si>
  <si>
    <t xml:space="preserve">                          oprava dětského brouzdaliště - venkovní bazén</t>
  </si>
  <si>
    <t xml:space="preserve">                          oprava tobogánu - venkovní bazén</t>
  </si>
  <si>
    <t xml:space="preserve">                          PD - střecha dešťové svody</t>
  </si>
  <si>
    <t>z toho: opravy a udržování celkem (znal.posudky,služby+opravy+údržba)</t>
  </si>
  <si>
    <t xml:space="preserve">             - zpracování PD rekonstrukce vnitřního bazénu</t>
  </si>
  <si>
    <t xml:space="preserve">             - podlaha basketbalové haly - PD + realizace (za předpokladu dotace MŠMT a spoluúčast města)</t>
  </si>
  <si>
    <r>
      <rPr>
        <b/>
        <i/>
        <sz val="10"/>
        <rFont val="Arial"/>
        <family val="2"/>
        <charset val="238"/>
      </rPr>
      <t xml:space="preserve">   </t>
    </r>
    <r>
      <rPr>
        <b/>
        <i/>
        <u/>
        <sz val="10"/>
        <rFont val="Arial"/>
        <family val="2"/>
        <charset val="238"/>
      </rPr>
      <t>Sportovní hala s bazénem:</t>
    </r>
    <r>
      <rPr>
        <i/>
        <sz val="10"/>
        <rFont val="Arial"/>
        <family val="2"/>
        <charset val="238"/>
      </rPr>
      <t xml:space="preserve"> org. 0515, 1515, 2515, 3515</t>
    </r>
  </si>
  <si>
    <t>Sportovní zařízení v majetku obce</t>
  </si>
  <si>
    <r>
      <rPr>
        <b/>
        <sz val="10"/>
        <rFont val="Arial"/>
        <family val="2"/>
        <charset val="238"/>
      </rPr>
      <t>Střední odborné školy</t>
    </r>
    <r>
      <rPr>
        <sz val="10"/>
        <rFont val="Arial"/>
        <family val="2"/>
        <charset val="238"/>
      </rPr>
      <t xml:space="preserve"> </t>
    </r>
    <r>
      <rPr>
        <sz val="9"/>
        <rFont val="Arial"/>
        <family val="2"/>
        <charset val="238"/>
      </rPr>
      <t>(EDUCA) - běžné opravy 100, zápočet investic a nájmu 275</t>
    </r>
  </si>
  <si>
    <t xml:space="preserve">ORJ 037 - Odbor bytový </t>
  </si>
  <si>
    <t>Ekologická výchova a osvěta</t>
  </si>
  <si>
    <r>
      <t xml:space="preserve">             příspěvek na investice TSM pro rok 2021 </t>
    </r>
    <r>
      <rPr>
        <sz val="8"/>
        <rFont val="Arial CE"/>
        <charset val="238"/>
      </rPr>
      <t xml:space="preserve">(nakladač, demolice skladu, revitalizace středista veřejné zeleně, demolice regulačních stanic) </t>
    </r>
  </si>
  <si>
    <t xml:space="preserve">                                     - ostatní (OŽP)</t>
  </si>
  <si>
    <r>
      <t xml:space="preserve">             údržba zeleně - </t>
    </r>
    <r>
      <rPr>
        <sz val="9"/>
        <rFont val="Arial CE"/>
        <charset val="238"/>
      </rPr>
      <t>TSM</t>
    </r>
  </si>
  <si>
    <t>z toho: akce + Zelené město 150</t>
  </si>
  <si>
    <t>Péče o vzhled obcí a veřejnou zeleň</t>
  </si>
  <si>
    <t>Rekultivace půdy</t>
  </si>
  <si>
    <r>
      <t>Chráněné části přírody</t>
    </r>
    <r>
      <rPr>
        <sz val="9"/>
        <rFont val="Arial CE"/>
        <family val="2"/>
        <charset val="238"/>
      </rPr>
      <t xml:space="preserve"> (památné stromy, významné krajinné prvky)</t>
    </r>
  </si>
  <si>
    <r>
      <t xml:space="preserve">Monitoring půdy a podzemní vody </t>
    </r>
    <r>
      <rPr>
        <sz val="9"/>
        <rFont val="Arial CE"/>
        <family val="2"/>
        <charset val="238"/>
      </rPr>
      <t xml:space="preserve">(sledování vrtů na Kojetíně) </t>
    </r>
  </si>
  <si>
    <r>
      <t xml:space="preserve">z toho: TSM příspěvek na investice </t>
    </r>
    <r>
      <rPr>
        <sz val="8"/>
        <rFont val="Arial CE"/>
        <charset val="238"/>
      </rPr>
      <t>(</t>
    </r>
    <r>
      <rPr>
        <sz val="9"/>
        <rFont val="Arial CE"/>
        <charset val="238"/>
      </rPr>
      <t>auto, vany, PD zprůjezdnění, unimobuňka)</t>
    </r>
  </si>
  <si>
    <t xml:space="preserve">            ostatní provoz město</t>
  </si>
  <si>
    <t>z toho: TSM - příspěvek na provoz</t>
  </si>
  <si>
    <t xml:space="preserve">Sběr a svoz komunálních odpadů </t>
  </si>
  <si>
    <r>
      <t>Sběr a svoz nebezpečných odpadů</t>
    </r>
    <r>
      <rPr>
        <b/>
        <sz val="9"/>
        <rFont val="Arial CE"/>
        <charset val="238"/>
      </rPr>
      <t xml:space="preserve"> </t>
    </r>
    <r>
      <rPr>
        <sz val="9"/>
        <rFont val="Arial CE"/>
        <charset val="238"/>
      </rPr>
      <t>(TSM: 50)</t>
    </r>
  </si>
  <si>
    <r>
      <t xml:space="preserve">Ostatní správa ve vodním hospodářství </t>
    </r>
    <r>
      <rPr>
        <sz val="9"/>
        <rFont val="Arial CE"/>
        <family val="2"/>
        <charset val="238"/>
      </rPr>
      <t>(havárie)</t>
    </r>
  </si>
  <si>
    <t xml:space="preserve">Ostatní záležitosti lesního hospodářství </t>
  </si>
  <si>
    <r>
      <t xml:space="preserve">Celospolečenské funkce lesů </t>
    </r>
    <r>
      <rPr>
        <sz val="9"/>
        <rFont val="Arial CE"/>
        <family val="2"/>
        <charset val="238"/>
      </rPr>
      <t>(cesty a svážnice+oprava kamenného divadla)</t>
    </r>
  </si>
  <si>
    <t>Správa v lesním hospodářství</t>
  </si>
  <si>
    <r>
      <t xml:space="preserve">Pěstební činnost </t>
    </r>
    <r>
      <rPr>
        <sz val="9"/>
        <rFont val="Arial CE"/>
        <family val="2"/>
        <charset val="238"/>
      </rPr>
      <t>(znovuzalesnění po kůrovci) - TSM: 0</t>
    </r>
  </si>
  <si>
    <t xml:space="preserve">Ozdravování hospodářských zvířat </t>
  </si>
  <si>
    <t>ORJ 035 - Odbor životního prostředí</t>
  </si>
  <si>
    <r>
      <t xml:space="preserve">z toho </t>
    </r>
    <r>
      <rPr>
        <b/>
        <sz val="9"/>
        <rFont val="Arial CE"/>
        <charset val="238"/>
      </rPr>
      <t>Pohoda (org.1393)</t>
    </r>
    <r>
      <rPr>
        <sz val="9"/>
        <rFont val="Arial CE"/>
        <charset val="238"/>
      </rPr>
      <t xml:space="preserve">: platy 2 800+604, dohody 200, zákonné odvody 685+150 250+54,5, OOP+oděvy 20+5, DHM 40, materiál 36, elektř.12, telef. 1,3, školení a vzdělávání 18, zpracování dat 15, služby 6, opravy a údržba 7, cestovné 1, poplatky na konference 0,5, náhrady v době nemoci  25                                               </t>
    </r>
  </si>
  <si>
    <r>
      <t xml:space="preserve">z toho </t>
    </r>
    <r>
      <rPr>
        <b/>
        <sz val="9"/>
        <rFont val="Arial CE"/>
        <charset val="238"/>
      </rPr>
      <t>Denní stacionář=Domovinka (org.1391)</t>
    </r>
    <r>
      <rPr>
        <sz val="9"/>
        <rFont val="Arial CE"/>
        <charset val="238"/>
      </rPr>
      <t>: platy 900 310, dohody 10, zákonné odvody221+81 80+28, ochr.os.pomůcky 8, prádlo+oděv 1,5, knihy+tisk 1, DHM 10, materiál 12, elektrická energie 10, služby telekomunikací 1,3, školení a vzdělávání 10, zpracování dat 5, služby 33, opravy a údržba 5, cestovné 1, účastn.popl.na konferencích 0,5, náhrady mezd v době nemoci   11</t>
    </r>
  </si>
  <si>
    <r>
      <t xml:space="preserve">z toho </t>
    </r>
    <r>
      <rPr>
        <b/>
        <sz val="9"/>
        <rFont val="Arial CE"/>
        <charset val="238"/>
      </rPr>
      <t>Pečovatelská služba (org.390)</t>
    </r>
    <r>
      <rPr>
        <sz val="9"/>
        <rFont val="Arial CE"/>
        <charset val="238"/>
      </rPr>
      <t xml:space="preserve">: platy 3920+650, dohody 60, zákonné odvody 972+158, 355+75, potraviny 1, ochranné osobní pomůcky 40, léky+zdrav.mater.3, prádlo+oděv 2, knihy+tisk 1,5, DHM  50, materiál  72,1, elektř. 50, PHM 120, služby telekomunikací 18, mobily 12, pevné linky 2, školení a vzdělávání 50, zpracování dat 18, služby 50, opravy a udržování 90, cestovné 20, účastnické poplatky na konference 8, ostatní nákupy 0, neinvestiční transfery spolkům 2,9, náhrady mezd v době nemoci 35     </t>
    </r>
  </si>
  <si>
    <t>Osobní asistence, pečovatelská služba a podpora samostatného bydlení</t>
  </si>
  <si>
    <t>ORJ 029 - ProSenior Nový Jičín</t>
  </si>
  <si>
    <t xml:space="preserve">             individuální dotace a dary (org. 1180)</t>
  </si>
  <si>
    <t xml:space="preserve">             dary obyvatelstvu - dobrovolní dárci krve (org. 1180)</t>
  </si>
  <si>
    <t xml:space="preserve">             podpora dobrovolnictví dle zákona o dobrovolnické službě (org. 1116)</t>
  </si>
  <si>
    <t xml:space="preserve">             podpora domácí hospicové péče (org. 1115)</t>
  </si>
  <si>
    <t xml:space="preserve">             podpora občanů města v pobytových soc. zařízeních (org. 1114)</t>
  </si>
  <si>
    <t xml:space="preserve">             podpora sociálních služeb dle zákona o soc.službách (org. 1113)</t>
  </si>
  <si>
    <t xml:space="preserve">             podpora jednorázových akcí v oblasti sociální (org. 1112)</t>
  </si>
  <si>
    <t>z toho: podpora celoroční činnosti v oblasti sociální (org. 1111)</t>
  </si>
  <si>
    <t>Dotace, návratné finanční výpomoci a dary cizím subjektům celkem:</t>
  </si>
  <si>
    <t>541 - Dotace, návratné finanční výpomoci a dary cizím subjektům</t>
  </si>
  <si>
    <r>
      <t xml:space="preserve">Záležitosti soc. věcí a politiky nezaměstn. j.n. </t>
    </r>
    <r>
      <rPr>
        <sz val="9"/>
        <rFont val="Arial CE"/>
        <charset val="238"/>
      </rPr>
      <t xml:space="preserve">(nákup tiskopisů receptů a žádanek na omamné látky, průkazy BST) </t>
    </r>
  </si>
  <si>
    <t xml:space="preserve">             Kavárničky - setkání seniorů v DPS (org. 3393)</t>
  </si>
  <si>
    <t xml:space="preserve">             Klub seniorů Loučka (org. 3383)</t>
  </si>
  <si>
    <t xml:space="preserve">             Klub seniorů Straník (org. 2383)</t>
  </si>
  <si>
    <t>z toho:   Klub seniorů Nový Jičín (org. 383)</t>
  </si>
  <si>
    <t>Ostatní služby a činnosti v oblasti sociální prevence</t>
  </si>
  <si>
    <t xml:space="preserve">             neinvestiční transfery krajům (smlouva o závazku vůči MSK) ÚZ 00030</t>
  </si>
  <si>
    <t>Sociálně aktivizační služby pro rodiny s dětmi</t>
  </si>
  <si>
    <t>Podpora samostatného bydlení</t>
  </si>
  <si>
    <t>z toho: nákup služeb - Komunitní plánování (org. 0439)</t>
  </si>
  <si>
    <t>Ostatní sociální péče a pomoc ostatním skupinám obyvatelstva</t>
  </si>
  <si>
    <r>
      <t xml:space="preserve">             </t>
    </r>
    <r>
      <rPr>
        <sz val="10"/>
        <rFont val="Arial CE"/>
        <charset val="238"/>
      </rPr>
      <t>neinvestiční transfery krajům (smlouva o závazku vůči MSK) ÚZ 00030</t>
    </r>
  </si>
  <si>
    <t>Sociální rehabilitace</t>
  </si>
  <si>
    <t xml:space="preserve">             nákup služeb (státní příspěvek na výkon pěstounské péče) ÚZ 13010</t>
  </si>
  <si>
    <r>
      <t xml:space="preserve">Ostatní sociální péče a pomoc rodině a manželství </t>
    </r>
    <r>
      <rPr>
        <sz val="10"/>
        <rFont val="Arial CE"/>
        <charset val="238"/>
      </rPr>
      <t>(výkon pěstounské péče)</t>
    </r>
  </si>
  <si>
    <t xml:space="preserve">             terapeutické pobyty pro děti ze sociálně znevýhodněného prostředí</t>
  </si>
  <si>
    <t>z toho: věcné dary/nákup materiálu (státní příspěvek na výkon OSPOD) ÚZ 13011, org. 1385</t>
  </si>
  <si>
    <t xml:space="preserve">Ostatní sociální péče a pomoc dětem a mládeži </t>
  </si>
  <si>
    <r>
      <t xml:space="preserve">Pohřebnictví </t>
    </r>
    <r>
      <rPr>
        <sz val="9"/>
        <rFont val="Arial CE"/>
        <family val="2"/>
        <charset val="238"/>
      </rPr>
      <t>(úhrada sociálních pohřbů)</t>
    </r>
  </si>
  <si>
    <r>
      <t xml:space="preserve">Nebytové hospodářství </t>
    </r>
    <r>
      <rPr>
        <sz val="9"/>
        <rFont val="Arial CE"/>
        <charset val="238"/>
      </rPr>
      <t>(Sokolovská 9: drobný hmotný majetek 2, materiál 1, služby 1)</t>
    </r>
  </si>
  <si>
    <t>Dopravní obslužnost mimo veřejnou službu - BST (org. 5555)</t>
  </si>
  <si>
    <t>528 - Sociální věci</t>
  </si>
  <si>
    <t>ORJ 5xx - Odbor sociálních věcí</t>
  </si>
  <si>
    <t>Převody vlastním fondům v rozpočtech územní úrovně</t>
  </si>
  <si>
    <r>
      <rPr>
        <b/>
        <sz val="10"/>
        <rFont val="Arial CE"/>
        <charset val="238"/>
      </rPr>
      <t>Sociální fond</t>
    </r>
    <r>
      <rPr>
        <sz val="10"/>
        <rFont val="Arial CE"/>
        <family val="2"/>
        <charset val="238"/>
      </rPr>
      <t xml:space="preserve"> </t>
    </r>
    <r>
      <rPr>
        <sz val="9"/>
        <rFont val="Arial CE"/>
        <family val="2"/>
        <charset val="238"/>
      </rPr>
      <t xml:space="preserve">(nájemné-aktivity odborů 60,7 , stravování 2269,8, nákup ost. služeb - akce odborové org. 160 , rekreace zaměstnanců 1165,5, pohoštění-setkání zaměstnanců+bývalých zaměstnanců 100 , ošatné uvolnění ZM+pověření neuvolnění ZM 90 , dary obyvatelstvu při úmrtí zaměstnance nebo člena rodiny 100, jubilea 94, penzijní a životní pojištění zaměstn. 1860 + investice z ORJ 019 ze zůstatku SF 300) </t>
    </r>
  </si>
  <si>
    <r>
      <t>Dotace na OSPOD-</t>
    </r>
    <r>
      <rPr>
        <b/>
        <sz val="10"/>
        <rFont val="Arial CE"/>
        <charset val="238"/>
      </rPr>
      <t>org. 1385</t>
    </r>
    <r>
      <rPr>
        <sz val="10"/>
        <rFont val="Arial CE"/>
        <family val="2"/>
        <charset val="238"/>
      </rPr>
      <t xml:space="preserve"> </t>
    </r>
    <r>
      <rPr>
        <sz val="9"/>
        <rFont val="Arial CE"/>
        <family val="2"/>
        <charset val="238"/>
      </rPr>
      <t>v tom: platy 5600,dohody 24, zák.odvody 1406+506,16, školení 120, cestovné 13</t>
    </r>
  </si>
  <si>
    <r>
      <t>z toho provoz: činnost místní správy-</t>
    </r>
    <r>
      <rPr>
        <b/>
        <sz val="9"/>
        <rFont val="Arial CE"/>
        <charset val="238"/>
      </rPr>
      <t>org.381</t>
    </r>
    <r>
      <rPr>
        <sz val="9"/>
        <rFont val="Arial CE"/>
        <charset val="238"/>
      </rPr>
      <t xml:space="preserve"> v tom: platy 85000, ost.platy 10, dohody 1300, refundace 10, zák.odvody 21402,4+7767+490+1, školení a vzdělávání 1000, nákup ostatních služeb 2400, cestovné 250, poplatky na konference 20, ostatní (ošatné ceremoniářky,matrikářky,hudebníci) 260, náhrady 40, náhrady mezd v nemoci 700.</t>
    </r>
  </si>
  <si>
    <t xml:space="preserve">Činnost místní správy </t>
  </si>
  <si>
    <r>
      <t>Zastupitelstva obcí</t>
    </r>
    <r>
      <rPr>
        <sz val="9"/>
        <rFont val="Arial CE"/>
        <charset val="238"/>
      </rPr>
      <t xml:space="preserve"> (ost.platy-refundace mzdy 25, odměny členů ZM 7150, zák.odvody 942,4+643,5, refund.zák.odvodů 12, školení a vzdělávání pro uvolněné ZM 8, parkovné 0,5, cestovné (ubytování a doprava) 15, pohoštění 75, poplatky na konference 5, ošatné-svatby 40, dary 30)</t>
    </r>
  </si>
  <si>
    <t>ORJ 919 - Odbor kancelář vedení města</t>
  </si>
  <si>
    <r>
      <t>Pojištění funkčně nespecifikované</t>
    </r>
    <r>
      <rPr>
        <sz val="9"/>
        <rFont val="Arial CE"/>
        <family val="2"/>
        <charset val="238"/>
      </rPr>
      <t xml:space="preserve"> (pojištění 1300, náhrady za nezpůsobenou újmu 50)</t>
    </r>
  </si>
  <si>
    <r>
      <t>Dotace na OSPOD-</t>
    </r>
    <r>
      <rPr>
        <b/>
        <sz val="10"/>
        <rFont val="Arial CE"/>
        <charset val="238"/>
      </rPr>
      <t>org. 1385</t>
    </r>
    <r>
      <rPr>
        <sz val="10"/>
        <rFont val="Arial CE"/>
        <family val="2"/>
        <charset val="238"/>
      </rPr>
      <t xml:space="preserve"> </t>
    </r>
    <r>
      <rPr>
        <sz val="9"/>
        <rFont val="Arial CE"/>
        <family val="2"/>
        <charset val="238"/>
      </rPr>
      <t xml:space="preserve">(v tom: knihy 6, DHM 46, materiál 17, PHM 23, služby telekomunikací 12, zpracování dat 72,6, ostatní služby 24) </t>
    </r>
  </si>
  <si>
    <r>
      <t>Pevné telefony-</t>
    </r>
    <r>
      <rPr>
        <b/>
        <sz val="10"/>
        <rFont val="Arial CE"/>
        <charset val="238"/>
      </rPr>
      <t>org.8381</t>
    </r>
  </si>
  <si>
    <r>
      <t>Mobilní telefony-</t>
    </r>
    <r>
      <rPr>
        <b/>
        <sz val="10"/>
        <rFont val="Arial CE"/>
        <charset val="238"/>
      </rPr>
      <t>org.7381</t>
    </r>
  </si>
  <si>
    <r>
      <t>Chata Jičínka-</t>
    </r>
    <r>
      <rPr>
        <b/>
        <sz val="10"/>
        <rFont val="Arial CE"/>
        <charset val="238"/>
      </rPr>
      <t>org.4381</t>
    </r>
    <r>
      <rPr>
        <sz val="10"/>
        <rFont val="Arial CE"/>
        <family val="2"/>
        <charset val="238"/>
      </rPr>
      <t xml:space="preserve"> </t>
    </r>
    <r>
      <rPr>
        <sz val="9"/>
        <rFont val="Arial CE"/>
        <charset val="238"/>
      </rPr>
      <t xml:space="preserve">(v tom: drobný hmotný majetek 50, materiál 10, voda 15, elektr.energie 140, PHM 1, služby-praní, odpady,... 50, opravy a udržování 50, místní poplatky 17, </t>
    </r>
    <r>
      <rPr>
        <b/>
        <sz val="9"/>
        <rFont val="Arial CE"/>
        <charset val="238"/>
      </rPr>
      <t>investice:</t>
    </r>
    <r>
      <rPr>
        <sz val="9"/>
        <rFont val="Arial CE"/>
        <charset val="238"/>
      </rPr>
      <t xml:space="preserve"> další etapa - úprava stropu, podlah, elektronistalace, zpevnění základů)</t>
    </r>
  </si>
  <si>
    <r>
      <rPr>
        <u/>
        <sz val="9"/>
        <rFont val="Arial CE"/>
        <charset val="238"/>
      </rPr>
      <t>Úsek informatiky</t>
    </r>
    <r>
      <rPr>
        <b/>
        <sz val="9"/>
        <rFont val="Arial CE"/>
        <charset val="238"/>
      </rPr>
      <t xml:space="preserve"> </t>
    </r>
    <r>
      <rPr>
        <sz val="9"/>
        <rFont val="Arial CE"/>
        <charset val="238"/>
      </rPr>
      <t xml:space="preserve">- </t>
    </r>
    <r>
      <rPr>
        <b/>
        <sz val="9"/>
        <rFont val="Arial CE"/>
        <charset val="238"/>
      </rPr>
      <t>investice - org.3381</t>
    </r>
    <r>
      <rPr>
        <sz val="9"/>
        <rFont val="Arial CE"/>
        <charset val="238"/>
      </rPr>
      <t xml:space="preserve"> programové vybavení- antivir, SW TC zálohování 101, vyvolávací systém - rozšíření 20, eko webové stránky 0, rozvoj GIS 350, nový IS 2000; elektronická úřední deska 600.</t>
    </r>
  </si>
  <si>
    <r>
      <rPr>
        <u/>
        <sz val="9"/>
        <rFont val="Arial CE"/>
        <charset val="238"/>
      </rPr>
      <t xml:space="preserve">Úsek informatiky </t>
    </r>
    <r>
      <rPr>
        <sz val="9"/>
        <rFont val="Arial CE"/>
        <charset val="238"/>
      </rPr>
      <t xml:space="preserve">- </t>
    </r>
    <r>
      <rPr>
        <b/>
        <sz val="9"/>
        <rFont val="Arial CE"/>
        <charset val="238"/>
      </rPr>
      <t>provoz - org.3381</t>
    </r>
    <r>
      <rPr>
        <sz val="9"/>
        <rFont val="Arial CE"/>
        <charset val="238"/>
      </rPr>
      <t xml:space="preserve"> (v tom: drobný hmotný majetek-nové PC a LCD monitory, notebooky, kopírky, tiskárny, nákup a instalace nového plátna do auly, web kamera - nový HW, Free wifi Div. 8, drobné síťové prvky, UPS, nový plotr 870, materiál 365, nájemné 40, školení 20, služby zpracování dat 3912,4, ost.služby-znalecké posudky, osvědčení 50, opravy a udržování 580, nákup softwaru 140.</t>
    </r>
  </si>
  <si>
    <r>
      <t>z toho</t>
    </r>
    <r>
      <rPr>
        <b/>
        <sz val="9"/>
        <rFont val="Arial CE"/>
        <family val="2"/>
        <charset val="238"/>
      </rPr>
      <t xml:space="preserve"> investice: </t>
    </r>
    <r>
      <rPr>
        <sz val="9"/>
        <rFont val="Arial CE"/>
        <family val="2"/>
        <charset val="238"/>
      </rPr>
      <t>činnost místní správy-</t>
    </r>
    <r>
      <rPr>
        <b/>
        <sz val="9"/>
        <rFont val="Arial CE"/>
        <family val="2"/>
        <charset val="238"/>
      </rPr>
      <t>org.381:</t>
    </r>
    <r>
      <rPr>
        <sz val="9"/>
        <rFont val="Arial CE"/>
        <family val="2"/>
        <charset val="238"/>
      </rPr>
      <t xml:space="preserve"> PD na zpracování vstupu do budovy na ul. Div. 1 (vestibul a kantýna) 150, projekt na paternoster 100, PD na sociální zař. Divadelní 8 80, studie využitelnosti dvorní části radnice 150</t>
    </r>
  </si>
  <si>
    <r>
      <t xml:space="preserve">z toho </t>
    </r>
    <r>
      <rPr>
        <b/>
        <sz val="9"/>
        <rFont val="Arial CE"/>
        <charset val="238"/>
      </rPr>
      <t>provoz</t>
    </r>
    <r>
      <rPr>
        <sz val="9"/>
        <rFont val="Arial CE"/>
        <charset val="238"/>
      </rPr>
      <t>: činnost místní správy-</t>
    </r>
    <r>
      <rPr>
        <b/>
        <sz val="9"/>
        <rFont val="Arial CE"/>
        <charset val="238"/>
      </rPr>
      <t>org.381</t>
    </r>
    <r>
      <rPr>
        <sz val="9"/>
        <rFont val="Arial CE"/>
        <charset val="238"/>
      </rPr>
      <t xml:space="preserve"> v tom: odměny za užití duševního vlastnictví-OSA 40, ochranné pomůcky - OOPP pro nové zaměstnance a obměna stávajících 100, léky a zdrav.materiál 32,5, knihy+učební pomůcky+tisk 100, Novojičínský zpravodaj 500, drobný hmotný majetek-nábytek a vybavení velké zas.míst. 1600, náb. kanc úředníci 500, mobily, skartovačky, kan.židle, skříně, police 380, podlah.krytiny 200, zařiz. předm. WC radnice 30, vybavení kuchyňky Div. 8 50, materiál-kancelářský, hygienický, čistící, doručovací, ikebana, automobily-mazadla, nemrznoucí směsi,... 1075, voda 350, teplo 2100, elektr.energie 1500, pevná paliva 1, PHM 150, služby pošt 1700, telekomun.71, nájemné 126, právní služby 435,6, služby BOZP 72,6, bezplatné právní služby pro veřejnost 50, psychologické poradenství k výběrovým řízením 20, zpracování dat 260, služby vč. úklidu,servisu kopírek, vozidel, nové logo města, elektrorevize, servis vozidel 3215, opravy a udržování - malování, nátěry oken a dveří 870, výměna dlažby ve vchodu Radnice 400, oprava kanalizace garáže Div. 8 100, výměna oken Úzká 1000, oprava soc. zařízení radnice 1500, velká zas. místnost + kancelář tajemníka 700, ostatní opravy 1000, pohoštění 200, ostatní nákupy (čl. přísp. auditorů a tajemníků) 4,5, kolky 1, daně a poplatky vč. dálničních známek 21, ostatní výdaje 2.</t>
    </r>
  </si>
  <si>
    <r>
      <t xml:space="preserve">Požární ochrana - dobrovolná část </t>
    </r>
    <r>
      <rPr>
        <sz val="9"/>
        <rFont val="Arial CE"/>
        <family val="2"/>
        <charset val="238"/>
      </rPr>
      <t>(pro hasiče Straník: OOPP 6, DHM - hadice a proudnice, svítilny na přilby 250, materiál 5, PHM 18, služby+internet 3,6, školení 3, nákup služeb-technické prohlídky vozidel, měření emisí, výměna pneu,... 10, opravy a udržování-příprava na STK, drobné opravy vozového parku 35, cestovné 2)</t>
    </r>
  </si>
  <si>
    <r>
      <t xml:space="preserve">Požární ochrana - profesionální část </t>
    </r>
    <r>
      <rPr>
        <sz val="9"/>
        <rFont val="Arial CE"/>
        <family val="2"/>
        <charset val="238"/>
      </rPr>
      <t>(příspěvek HZS MSK dle smlouvy zvýšené o inflaci-předpoklad 2,7 %)</t>
    </r>
  </si>
  <si>
    <r>
      <t xml:space="preserve">Ostatní správa v oblasti krizového řízení </t>
    </r>
    <r>
      <rPr>
        <sz val="9"/>
        <rFont val="Arial CE"/>
        <family val="2"/>
        <charset val="238"/>
      </rPr>
      <t>(PHM do elektrocentrály 1, služby 2, materiál 1, knihy+učební pomůcky+tisk 1) - čerpá se jen v mimořádných událostech</t>
    </r>
  </si>
  <si>
    <r>
      <t xml:space="preserve">Činnost ost. orgánů státní správy v oblasti civil.nouzového hospod. </t>
    </r>
    <r>
      <rPr>
        <sz val="9"/>
        <rFont val="Arial CE"/>
        <family val="2"/>
        <charset val="238"/>
      </rPr>
      <t>(čerpá se jen při živelních pohromách: přikrývky 50, písek+pytle+... 70, zabezpečení chodu evak.středisek 3, teplo 3, elektrická energie 4, PHM 10, služby: ubytovací,stravovací,dopravní,... 60)</t>
    </r>
  </si>
  <si>
    <r>
      <t xml:space="preserve">Ochrana obyvatelstva </t>
    </r>
    <r>
      <rPr>
        <sz val="9"/>
        <rFont val="Arial CE"/>
        <charset val="238"/>
      </rPr>
      <t>(letáky+uživat.příručky 1, DHM 80, zpracování dat-data hosting, GSM přenosy 25, systém varování před povodněmi-hladinoměry dle servisní smlouvy 23, opravy a udržování systému varování před povodněmi 40)</t>
    </r>
  </si>
  <si>
    <t>ORJ 019 - Odbor organizační</t>
  </si>
  <si>
    <r>
      <t>z toho</t>
    </r>
    <r>
      <rPr>
        <b/>
        <sz val="10"/>
        <rFont val="Arial CE"/>
        <charset val="238"/>
      </rPr>
      <t xml:space="preserve"> provoz:</t>
    </r>
    <r>
      <rPr>
        <sz val="10"/>
        <rFont val="Arial CE"/>
        <family val="2"/>
        <charset val="238"/>
      </rPr>
      <t xml:space="preserve"> platy</t>
    </r>
    <r>
      <rPr>
        <sz val="9"/>
        <rFont val="Arial CE"/>
        <family val="2"/>
        <charset val="238"/>
      </rPr>
      <t xml:space="preserve"> 16 000, zák.odvody 3 968 + 1 440 ochr.pomůcky 0, zdrav.pomůcky 2, výstroj 275, knihy, časopisy a tisk 1, DHM 151, materiál 127,5 včetně prevence kriminality, elektř.10, PHM 240, služby pošt 1, telekomunikace 242, nájemné 30, konzultace  porad.služby 3, školení 27, konference 2, služby 579, opravy a udrž. 283, služby zpracování dat 80, cestovné 7, neinv.přísp.a náhrady-prac.úrazy 50, kolky 10, náhrady za nemoc 100,</t>
    </r>
    <r>
      <rPr>
        <sz val="10"/>
        <rFont val="Arial CE"/>
        <charset val="238"/>
      </rPr>
      <t xml:space="preserve"> správní poplatky 6, </t>
    </r>
    <r>
      <rPr>
        <b/>
        <sz val="10"/>
        <rFont val="Arial CE"/>
        <charset val="238"/>
      </rPr>
      <t xml:space="preserve">investice: </t>
    </r>
    <r>
      <rPr>
        <sz val="9"/>
        <rFont val="Arial CE"/>
        <charset val="238"/>
      </rPr>
      <t>radiostanice</t>
    </r>
  </si>
  <si>
    <t xml:space="preserve">Bezpečnost a veřejný pořádek </t>
  </si>
  <si>
    <t>ORJ 018 - Městská policie</t>
  </si>
  <si>
    <r>
      <t xml:space="preserve">            mimořádné dotace a dary (org. 1180): </t>
    </r>
    <r>
      <rPr>
        <sz val="9"/>
        <rFont val="Arial CE"/>
        <charset val="238"/>
      </rPr>
      <t>MŠ Beruška 165, ZŠ Galaxie 220 a MŠ Bludovice 33,816 -všechny 3 subjekty na úhradu režijních nákladů na stravování dětí včetně dovozu, ZO ČSOP Bartošovice 90 záchrana handicapovaných zvířat, Česká křesťanská akademie 15, rezerva 100</t>
    </r>
  </si>
  <si>
    <t xml:space="preserve">            podpora jednorázových akcí v oblasti využití volného času (org. 1142)</t>
  </si>
  <si>
    <t xml:space="preserve">            podpora celoroční činnosti v oblasti využití volného času (org. 1141)</t>
  </si>
  <si>
    <t xml:space="preserve">            podpora provozu, údržby a oprava sportovišť a sportovních zařízení (org. 1134)</t>
  </si>
  <si>
    <t xml:space="preserve">            podpora jednorázových sportovních akcí (org. 1133)</t>
  </si>
  <si>
    <t xml:space="preserve">            podpora sportovní činnosti dětí a mládeže do 20 let (org. 1132)</t>
  </si>
  <si>
    <t xml:space="preserve">            podpora sportovní činnosti dospělých nad 20 let (org. 1131)</t>
  </si>
  <si>
    <t xml:space="preserve">            podpora jednorázových kulturních akcí (org. 1122)</t>
  </si>
  <si>
    <t>z toho: podpora celoroční činnosti v kulturní oblasti (org. 1121)</t>
  </si>
  <si>
    <t>Dotace, návratné finanční výpomoci a dary cizím subjektům</t>
  </si>
  <si>
    <t>441 - Dotace, návratné finanční výpomoci a dary cizím subjektům</t>
  </si>
  <si>
    <t>z toho: výdaje na občanské záležitosti (včetně vítání občánků a jubileí)</t>
  </si>
  <si>
    <t>Ostatní záležitosti kultury, církví a sdělovacích prostředků</t>
  </si>
  <si>
    <r>
      <t xml:space="preserve">           -  příspěvek na údržbu </t>
    </r>
    <r>
      <rPr>
        <sz val="9"/>
        <rFont val="Arial CE"/>
        <family val="2"/>
        <charset val="238"/>
      </rPr>
      <t xml:space="preserve">(oprava vstupu knihovny a části budovy garáže proti vzlínání vlhkosti, oprava asfaltové plochy před pódiem amfiteátru Skalky,oprava správního domku-pouze PD, přečalounění sedaček v kině, oprava digitálního projektoru , oprava plechového krytu v chodníkovém tělese u kina, oprava proskleného vnitřního prostoru kina) při zapojení FI 600 </t>
    </r>
  </si>
  <si>
    <r>
      <t xml:space="preserve">          -  příspěvek na investice </t>
    </r>
    <r>
      <rPr>
        <sz val="9"/>
        <rFont val="Arial CE"/>
        <family val="2"/>
        <charset val="238"/>
      </rPr>
      <t>auto)</t>
    </r>
  </si>
  <si>
    <t xml:space="preserve">                                     včetně Novojičínského kulturního léta a Slavností města </t>
  </si>
  <si>
    <t xml:space="preserve">           -  příspěvek na provoz MěKS a Kina Květen, vč.energií 1350, vč.odpisů z nem.majetku 175 </t>
  </si>
  <si>
    <r>
      <t xml:space="preserve">z toho: </t>
    </r>
    <r>
      <rPr>
        <b/>
        <i/>
        <sz val="10"/>
        <rFont val="Arial CE"/>
        <family val="2"/>
        <charset val="238"/>
      </rPr>
      <t>Městské kulturní středisko</t>
    </r>
    <r>
      <rPr>
        <b/>
        <sz val="10"/>
        <rFont val="Arial CE"/>
        <charset val="238"/>
      </rPr>
      <t xml:space="preserve"> </t>
    </r>
    <r>
      <rPr>
        <sz val="9"/>
        <rFont val="Arial CE"/>
        <family val="2"/>
        <charset val="238"/>
      </rPr>
      <t>(org. 501)</t>
    </r>
  </si>
  <si>
    <t>z toho: Osvětová beseda Straník</t>
  </si>
  <si>
    <t>Zájmová činnost v kultuře</t>
  </si>
  <si>
    <r>
      <t xml:space="preserve">            elektrická energie </t>
    </r>
    <r>
      <rPr>
        <sz val="9"/>
        <rFont val="Arial CE"/>
        <charset val="238"/>
      </rPr>
      <t xml:space="preserve">(zvonění kaple Kojetín, Bludovice) </t>
    </r>
  </si>
  <si>
    <t>Pořízení, zachování a obnova hodnot místního historického povědomí</t>
  </si>
  <si>
    <t xml:space="preserve">             Drobné opravy poškození, očištění soch a restaurování křížů, Kaple v Janáčkových sadech-úprava po fixaci maleb, oprva hradební zdi (ve dvoře HoteluPraha)</t>
  </si>
  <si>
    <t xml:space="preserve">             Propagace v rámci EHD (vlajky a jiné), postřiky hradebních zdí, vč. likvidace náletů </t>
  </si>
  <si>
    <r>
      <t>z toho: dohody (</t>
    </r>
    <r>
      <rPr>
        <sz val="9"/>
        <rFont val="Arial CE"/>
        <charset val="238"/>
      </rPr>
      <t>odborné texty na tabulky)</t>
    </r>
  </si>
  <si>
    <t>Zachování a obnova kulturních památek</t>
  </si>
  <si>
    <t xml:space="preserve">             kronika, služby, materiál, pohoštění, dar, ocenění osobností, ples, poplatky OSA a INTEGRAM atd.)</t>
  </si>
  <si>
    <r>
      <t xml:space="preserve">z toho: osadní výbory </t>
    </r>
    <r>
      <rPr>
        <sz val="9"/>
        <rFont val="Arial CE"/>
        <family val="2"/>
        <charset val="238"/>
      </rPr>
      <t>(Žilina, Straník, Bludovice, Kojetín, Loučka)</t>
    </r>
  </si>
  <si>
    <t>Ostatní záležitosti kultury</t>
  </si>
  <si>
    <r>
      <t xml:space="preserve">             příspěvek na údržbu </t>
    </r>
    <r>
      <rPr>
        <sz val="9"/>
        <rFont val="Arial CE"/>
        <family val="2"/>
        <charset val="238"/>
      </rPr>
      <t xml:space="preserve">(zesílení stropních desek ve výchovní části přístavby vč.stav. úprav, oprava vzduchotechniky) při zapojení FI 200 </t>
    </r>
  </si>
  <si>
    <t xml:space="preserve">z toho: příspěvek na provoz, včetně energií 2000, včetně odpisů z nemovitého majetku </t>
  </si>
  <si>
    <r>
      <t xml:space="preserve">Divadelní činnost - </t>
    </r>
    <r>
      <rPr>
        <b/>
        <i/>
        <sz val="10"/>
        <rFont val="Arial CE"/>
        <family val="2"/>
        <charset val="238"/>
      </rPr>
      <t>Beskydské divadlo</t>
    </r>
    <r>
      <rPr>
        <b/>
        <sz val="9"/>
        <rFont val="Arial CE"/>
        <family val="2"/>
        <charset val="238"/>
      </rPr>
      <t xml:space="preserve"> </t>
    </r>
    <r>
      <rPr>
        <sz val="9"/>
        <rFont val="Arial CE"/>
        <family val="2"/>
        <charset val="238"/>
      </rPr>
      <t>(org. 504)</t>
    </r>
  </si>
  <si>
    <t>416 - Kultura</t>
  </si>
  <si>
    <r>
      <t>Ostatní tělovýchovná činnost</t>
    </r>
    <r>
      <rPr>
        <sz val="10"/>
        <rFont val="Arial CE"/>
        <charset val="238"/>
      </rPr>
      <t xml:space="preserve"> </t>
    </r>
  </si>
  <si>
    <r>
      <t xml:space="preserve">                  - příspěvek na investice </t>
    </r>
    <r>
      <rPr>
        <sz val="9"/>
        <rFont val="Arial CE"/>
        <charset val="238"/>
      </rPr>
      <t xml:space="preserve">(revitalizace projektu ITI+spoluúčast+zateplení nástavby části budovy (876 tis.Kč) , zrcadlová stěna, PD na ohřev teplé vody) zapojení FI 140 </t>
    </r>
  </si>
  <si>
    <t xml:space="preserve">                  - příspěvek na údržbu (oprava podlah v posilovně)</t>
  </si>
  <si>
    <t xml:space="preserve">                  - příspěvek na provoz, včetně energií 670, včetně odpisů z nemovitého majetku </t>
  </si>
  <si>
    <r>
      <t xml:space="preserve">z toho: </t>
    </r>
    <r>
      <rPr>
        <b/>
        <i/>
        <sz val="10"/>
        <rFont val="Arial CE"/>
        <charset val="238"/>
      </rPr>
      <t>SVČ Fokus</t>
    </r>
  </si>
  <si>
    <t>Střediska volného času</t>
  </si>
  <si>
    <t xml:space="preserve">                             - příspěvek na investice (myčka, server a diskové pole) </t>
  </si>
  <si>
    <r>
      <t xml:space="preserve">                             - příspěvek na údržbu</t>
    </r>
    <r>
      <rPr>
        <sz val="9"/>
        <rFont val="Arial CE"/>
        <family val="2"/>
        <charset val="238"/>
      </rPr>
      <t xml:space="preserve"> (malování a nátěry)</t>
    </r>
  </si>
  <si>
    <t xml:space="preserve">                             - příspěvek na provoz (vč. Montessori 250), vč.energií 2000, vč.odpisů z nem.majetku</t>
  </si>
  <si>
    <r>
      <t xml:space="preserve">                         </t>
    </r>
    <r>
      <rPr>
        <b/>
        <i/>
        <sz val="10"/>
        <rFont val="Arial CE"/>
        <charset val="238"/>
      </rPr>
      <t xml:space="preserve">ZŠ Tyršova </t>
    </r>
    <r>
      <rPr>
        <sz val="10"/>
        <rFont val="Arial CE"/>
        <family val="2"/>
        <charset val="238"/>
      </rPr>
      <t>(org. 325)</t>
    </r>
  </si>
  <si>
    <r>
      <t xml:space="preserve">                             - příspěvek na investice</t>
    </r>
    <r>
      <rPr>
        <sz val="9"/>
        <rFont val="Arial CE"/>
        <family val="2"/>
        <charset val="238"/>
      </rPr>
      <t xml:space="preserve"> (spoluúčast na projektu  IROP Digitalizace k Hitech.výuce, konvektomat) -při zapojení FI 160</t>
    </r>
  </si>
  <si>
    <r>
      <t xml:space="preserve">                              - příspěvek na údržbu </t>
    </r>
    <r>
      <rPr>
        <sz val="9"/>
        <rFont val="Arial CE"/>
        <family val="2"/>
        <charset val="238"/>
      </rPr>
      <t>(oprava elektroinstalace-poslední etapa,</t>
    </r>
    <r>
      <rPr>
        <sz val="9"/>
        <rFont val="Arial CE"/>
        <charset val="238"/>
      </rPr>
      <t>oprava ZTI</t>
    </r>
    <r>
      <rPr>
        <sz val="9"/>
        <rFont val="Arial CE"/>
        <family val="2"/>
        <charset val="238"/>
      </rPr>
      <t>, malování a nátěry, oprava podlah) při zapojení FR 45</t>
    </r>
  </si>
  <si>
    <t xml:space="preserve">                              - příspěvek na provoz, včetně energií 1400, včetně odpisů z nemovitého majetku </t>
  </si>
  <si>
    <r>
      <t xml:space="preserve">                          </t>
    </r>
    <r>
      <rPr>
        <b/>
        <i/>
        <sz val="10"/>
        <rFont val="Arial CE"/>
        <charset val="238"/>
      </rPr>
      <t>ZŠ Komenského 68</t>
    </r>
    <r>
      <rPr>
        <sz val="10"/>
        <rFont val="Arial CE"/>
        <family val="2"/>
        <charset val="238"/>
      </rPr>
      <t xml:space="preserve"> (org. 323)</t>
    </r>
  </si>
  <si>
    <r>
      <t xml:space="preserve">                              - příspěvek na investice </t>
    </r>
    <r>
      <rPr>
        <sz val="9"/>
        <rFont val="Arial CE"/>
        <charset val="238"/>
      </rPr>
      <t xml:space="preserve">(spoluúčast města na projektu IROP, modernizace odborné učebny F, Ch, Z,) </t>
    </r>
  </si>
  <si>
    <r>
      <t xml:space="preserve">                              - příspěvek na údržbu </t>
    </r>
    <r>
      <rPr>
        <sz val="9"/>
        <rFont val="Arial CE"/>
        <family val="2"/>
        <charset val="238"/>
      </rPr>
      <t>(malování a nátěry, čištění fasády, výměna plechových podhledů v přízemí, oprava výtahu, zapojení FR a FI 320)</t>
    </r>
  </si>
  <si>
    <t xml:space="preserve">                              - příspěvek na provoz, včetně energií 1700, včetně odpisů z nemovitého majetku </t>
  </si>
  <si>
    <r>
      <t xml:space="preserve">              v tom:  </t>
    </r>
    <r>
      <rPr>
        <b/>
        <i/>
        <sz val="10"/>
        <rFont val="Arial CE"/>
        <family val="2"/>
        <charset val="238"/>
      </rPr>
      <t xml:space="preserve">ZŠ Komenského 66 </t>
    </r>
    <r>
      <rPr>
        <sz val="10"/>
        <rFont val="Arial CE"/>
        <family val="2"/>
        <charset val="238"/>
      </rPr>
      <t>(org. 322)</t>
    </r>
  </si>
  <si>
    <r>
      <t xml:space="preserve">                              - příspěvek na investice </t>
    </r>
    <r>
      <rPr>
        <sz val="9"/>
        <rFont val="Arial CE"/>
        <family val="2"/>
        <charset val="238"/>
      </rPr>
      <t xml:space="preserve">(Jubilejní: rek. školního hřiště, zpracování žádosti, rekonstukce učeben dílen, náklady související s dotací IROP, plynový kotel ve ŠJ, krouhač zeleniny, objednávkový systém ŠJ, Dlouhá: PD rekonstrukce výtahu a bezbariérovosti budovy) při </t>
    </r>
    <r>
      <rPr>
        <sz val="10"/>
        <rFont val="Arial CE"/>
        <family val="2"/>
        <charset val="238"/>
      </rPr>
      <t>zapojení FI 300</t>
    </r>
  </si>
  <si>
    <r>
      <t xml:space="preserve">                              - přísp.na údržbu</t>
    </r>
    <r>
      <rPr>
        <sz val="9"/>
        <rFont val="Arial CE"/>
        <family val="2"/>
        <charset val="238"/>
      </rPr>
      <t xml:space="preserve"> (Jubilejní: malování a nátěry, stabilizace střešního pláště proti větru, ZŠ Dlouhá: PD sanace havraijní stav ve ŠJ, malování a nátěry, vnitřní obložení stěn šatny, úprava podlahy v tělocvičně)</t>
    </r>
  </si>
  <si>
    <t xml:space="preserve">                              - příspěvek na provoz, včetně energií 3700, včetně odpisů z nemovitého majetku </t>
  </si>
  <si>
    <r>
      <t xml:space="preserve">              v tom:  </t>
    </r>
    <r>
      <rPr>
        <b/>
        <i/>
        <sz val="10"/>
        <rFont val="Arial CE"/>
        <family val="2"/>
        <charset val="238"/>
      </rPr>
      <t xml:space="preserve">ZŠ Jubilejní </t>
    </r>
    <r>
      <rPr>
        <sz val="10"/>
        <rFont val="Arial CE"/>
        <family val="2"/>
        <charset val="238"/>
      </rPr>
      <t xml:space="preserve">celkem (org. 321) </t>
    </r>
  </si>
  <si>
    <t xml:space="preserve">                             na investice</t>
  </si>
  <si>
    <t xml:space="preserve">                             na údržbu ZŠ </t>
  </si>
  <si>
    <t xml:space="preserve">příspěvky vlastní: na provoz ZŠ </t>
  </si>
  <si>
    <t xml:space="preserve">rezerva+vyhodnocení žáků </t>
  </si>
  <si>
    <t>Základní školy</t>
  </si>
  <si>
    <r>
      <t xml:space="preserve">                               - příspěvek na investice </t>
    </r>
    <r>
      <rPr>
        <sz val="9"/>
        <rFont val="Arial CE"/>
        <charset val="238"/>
      </rPr>
      <t xml:space="preserve">(PD rekonstrukce elektroinstalace MŠ Máchova, myčka) </t>
    </r>
    <r>
      <rPr>
        <sz val="10"/>
        <rFont val="Arial CE"/>
        <family val="2"/>
        <charset val="238"/>
      </rPr>
      <t>zapojení FI 50</t>
    </r>
  </si>
  <si>
    <r>
      <t xml:space="preserve">                               - příspěvek na údržbu </t>
    </r>
    <r>
      <rPr>
        <sz val="9"/>
        <rFont val="Arial CE"/>
        <family val="2"/>
        <charset val="238"/>
      </rPr>
      <t>(oprava plotu MŠ Kom - poslední etapa, oprava kuchyněk a parapetů MŠ Máchova, oprava výtahu MŠ Máchova, výměna podlahových krytin, malování a nátěry, oprava sprchy MŠ Beskydská, ochranný val proti zatečení MŠ Beskydská)</t>
    </r>
  </si>
  <si>
    <t xml:space="preserve">                               - příspěvek na provoz, včetně energií 850, včetně odpisů z nemovitého majetku </t>
  </si>
  <si>
    <r>
      <t xml:space="preserve">                          </t>
    </r>
    <r>
      <rPr>
        <b/>
        <i/>
        <sz val="10"/>
        <rFont val="Arial CE"/>
        <charset val="238"/>
      </rPr>
      <t>MŠ Trojlístek</t>
    </r>
    <r>
      <rPr>
        <sz val="10"/>
        <rFont val="Arial CE"/>
        <family val="2"/>
        <charset val="238"/>
      </rPr>
      <t xml:space="preserve"> (org. 309)</t>
    </r>
  </si>
  <si>
    <r>
      <t xml:space="preserve">                               - příspěvek na údržbu </t>
    </r>
    <r>
      <rPr>
        <sz val="9"/>
        <rFont val="Arial CE"/>
        <family val="2"/>
        <charset val="238"/>
      </rPr>
      <t>(malování a nátěry, oprava plotu, výměna podlahových krytin, PD sanace sušárny a prádelny MŠ Vančurova, zajištění dešťové mřížky okapů u MŠ Jubilejní, oprava výtahu) při zapojení FR a FI 170</t>
    </r>
  </si>
  <si>
    <t xml:space="preserve">                               - příspěvek na provoz, včetně energií 1270, včetně odpisů z nemovitého majetku </t>
  </si>
  <si>
    <r>
      <t xml:space="preserve">                          MŠ Máj</t>
    </r>
    <r>
      <rPr>
        <sz val="10"/>
        <rFont val="Arial CE"/>
        <charset val="238"/>
      </rPr>
      <t xml:space="preserve"> (org. 307)</t>
    </r>
  </si>
  <si>
    <r>
      <t xml:space="preserve">                               - příspěvek na investice</t>
    </r>
    <r>
      <rPr>
        <sz val="9"/>
        <rFont val="Arial CE"/>
        <charset val="238"/>
      </rPr>
      <t xml:space="preserve"> (revitalizace zahrady MŠ Smetanovy sady, elektroinstalace MŠ Jiráskova-havarijní stav, rekonstrukce vzduchotechniky MŠ Jiráskova)</t>
    </r>
  </si>
  <si>
    <r>
      <t xml:space="preserve">                               - příspěvek na údržbu </t>
    </r>
    <r>
      <rPr>
        <sz val="9"/>
        <rFont val="Arial CE"/>
        <family val="2"/>
        <charset val="238"/>
      </rPr>
      <t>(oprava střešních svodů MŠ Revoluční a zásaků vody do kanalizace, oprava venkovního schodiště - zahradad Sm.sady, orpava chodníků na zaahradě MŠ Revoluční, malování a nátěry, oprava terasy MŠ Revoluční ) při zapojení FI 100</t>
    </r>
  </si>
  <si>
    <t xml:space="preserve">                              </t>
  </si>
  <si>
    <r>
      <t xml:space="preserve">             v tom:  </t>
    </r>
    <r>
      <rPr>
        <b/>
        <i/>
        <sz val="10"/>
        <rFont val="Arial CE"/>
        <charset val="238"/>
      </rPr>
      <t>MŠ Sady</t>
    </r>
    <r>
      <rPr>
        <sz val="10"/>
        <rFont val="Arial CE"/>
        <family val="2"/>
        <charset val="238"/>
      </rPr>
      <t xml:space="preserve"> (org. 305)</t>
    </r>
  </si>
  <si>
    <t xml:space="preserve">                                            na investice</t>
  </si>
  <si>
    <t xml:space="preserve">                                            na údržbu MŠ </t>
  </si>
  <si>
    <t xml:space="preserve">příspěvky a dotace vlastní: na provoz MŠ </t>
  </si>
  <si>
    <t>Předškolní zařízení</t>
  </si>
  <si>
    <t>414 - Školství</t>
  </si>
  <si>
    <t>ORJ 4xx - Odbor školství, kultury a sportu</t>
  </si>
  <si>
    <t xml:space="preserve">Volby do Poslanecké sněmovny </t>
  </si>
  <si>
    <t>ORJ 317 - Odbor správních agend</t>
  </si>
  <si>
    <r>
      <t xml:space="preserve">Činnost místní správy - </t>
    </r>
    <r>
      <rPr>
        <sz val="10"/>
        <rFont val="Arial CE"/>
        <charset val="238"/>
      </rPr>
      <t>ostatní platy (refundace vč.pojist.), konzult.a porad.služby, náhrady svědkům</t>
    </r>
  </si>
  <si>
    <r>
      <t xml:space="preserve">Bezpečnost silničního provozu - </t>
    </r>
    <r>
      <rPr>
        <sz val="10"/>
        <rFont val="Arial CE"/>
        <charset val="238"/>
      </rPr>
      <t>znalecké posudky při řešení dopravních deliktů+tlumočení</t>
    </r>
  </si>
  <si>
    <t>ORJ 313 - Odbor přestupkových agend</t>
  </si>
  <si>
    <t xml:space="preserve">                dokrytí ztráty za provozovaní autobusového spojení Hranice na Moravě </t>
  </si>
  <si>
    <r>
      <t xml:space="preserve">             kompenzace ztráty dopravci za rozšíření tarifu "město" 2020: </t>
    </r>
    <r>
      <rPr>
        <sz val="10"/>
        <rFont val="Arial CE"/>
        <charset val="238"/>
      </rPr>
      <t xml:space="preserve">dokrytí ztráty za provozování skibusu: </t>
    </r>
  </si>
  <si>
    <r>
      <t xml:space="preserve">             příspěvek na MHD</t>
    </r>
    <r>
      <rPr>
        <sz val="9"/>
        <rFont val="Arial CE"/>
        <family val="2"/>
        <charset val="238"/>
      </rPr>
      <t xml:space="preserve"> (ARRIVA) - dle smlouvy </t>
    </r>
  </si>
  <si>
    <t>z toho: územní dopravní obslužnost dle smlouvy s MSK</t>
  </si>
  <si>
    <r>
      <t>Dopravní obslužnost</t>
    </r>
    <r>
      <rPr>
        <sz val="10"/>
        <rFont val="Arial CE"/>
        <charset val="238"/>
      </rPr>
      <t xml:space="preserve"> - veřejná doprava</t>
    </r>
  </si>
  <si>
    <t xml:space="preserve">             DHM 6, materiál 3, nájemné 42, služby 10, opravy a udržování 7, pohoštění 2, věcné dary 6 </t>
  </si>
  <si>
    <t>Bezpečnost silničního provozu (BESIP)</t>
  </si>
  <si>
    <t>ORJ 210 - Odbor dopravy</t>
  </si>
  <si>
    <r>
      <t>Mezinárodní spolupráce</t>
    </r>
    <r>
      <rPr>
        <sz val="9"/>
        <rFont val="Arial CE"/>
        <charset val="238"/>
      </rPr>
      <t xml:space="preserve"> - materiál 55, materiál DPH 5, PHM 5, nájemné 20, služby 280, cestovné 40, pohoštění 110.</t>
    </r>
  </si>
  <si>
    <r>
      <t>Ost.záležitosti kultury, církví a sdělovacích prostředků</t>
    </r>
    <r>
      <rPr>
        <sz val="10"/>
        <rFont val="Arial CE"/>
        <family val="2"/>
        <charset val="238"/>
      </rPr>
      <t xml:space="preserve"> (</t>
    </r>
    <r>
      <rPr>
        <sz val="9"/>
        <rFont val="Arial CE"/>
        <family val="2"/>
        <charset val="238"/>
      </rPr>
      <t xml:space="preserve">platby za autorská práva - OSA, Integram) </t>
    </r>
  </si>
  <si>
    <r>
      <t>Cestovní ruch</t>
    </r>
    <r>
      <rPr>
        <b/>
        <sz val="9"/>
        <rFont val="Arial CE"/>
        <charset val="238"/>
      </rPr>
      <t xml:space="preserve"> </t>
    </r>
    <r>
      <rPr>
        <sz val="9"/>
        <rFont val="Arial CE"/>
        <charset val="238"/>
      </rPr>
      <t xml:space="preserve">(platy 3600, dohody 360, soc.poj. 982 080, zdrav. poj. 356 400, náhrada mezd za nemoc 20, platby daní a popl. Stát. rozp. 6,5, knihy, tisk 6, drobný hmotný maj. 480, materiál (kalendáře, upom. Př., tiskoviny,…) 640, materiál DPH 374,5, poštovné 4, telefony 10, pronájem 277, služby zprac. dat. 30, nákup služeb (prop. inz., služby) 1170, nákup služeb DPH (služby spojené s kelímky NICKNACK) 170 976, opravy a údržba 80, cestovné 10, pohoštění 80, ost.nák.j.n. 4,5, neinvest. transféry 140, neinvest. přísp. Pivobraní 170. </t>
    </r>
  </si>
  <si>
    <r>
      <t xml:space="preserve">Vnitřní obchod  </t>
    </r>
    <r>
      <rPr>
        <b/>
        <sz val="9"/>
        <rFont val="Arial CE"/>
        <charset val="238"/>
      </rPr>
      <t xml:space="preserve">- </t>
    </r>
    <r>
      <rPr>
        <sz val="9"/>
        <rFont val="Arial CE"/>
        <charset val="238"/>
      </rPr>
      <t xml:space="preserve">opravy a údržba 25, materiál 38, služby 64, příspěvek TSM celkem (jarmarky, vánoční strom, výzdoba,…) 454, pohoštění 5, DHM 100, stroje, přístroje, zařízení 540.  </t>
    </r>
  </si>
  <si>
    <t>ORJ 011 - Návštěvnické centrum Nový Jičín - město klobouků</t>
  </si>
  <si>
    <r>
      <t xml:space="preserve">Ostatní záležitosti kultury, církví a sdělovacích prostředků </t>
    </r>
    <r>
      <rPr>
        <sz val="9"/>
        <rFont val="Arial CE"/>
        <charset val="238"/>
      </rPr>
      <t>(odměny za užití duševního vlastnictví 20)</t>
    </r>
  </si>
  <si>
    <r>
      <t>Rozhlas a televize</t>
    </r>
    <r>
      <rPr>
        <b/>
        <sz val="9"/>
        <rFont val="Arial CE"/>
        <family val="2"/>
        <charset val="238"/>
      </rPr>
      <t xml:space="preserve"> </t>
    </r>
    <r>
      <rPr>
        <sz val="9"/>
        <rFont val="Arial CE"/>
        <family val="2"/>
        <charset val="238"/>
      </rPr>
      <t>(TV Polar, záznamy ze ZM)</t>
    </r>
  </si>
  <si>
    <r>
      <t xml:space="preserve">Vnitřní obchod </t>
    </r>
    <r>
      <rPr>
        <sz val="9"/>
        <rFont val="Arial CE"/>
        <family val="2"/>
        <charset val="238"/>
      </rPr>
      <t>(nákup materiálu 16, zpracování dat 3, ostatní služby 366, věcné dary 10, neinvestiční transfery neziskovým organizacím 80, reklamní tabule MPR 200)</t>
    </r>
  </si>
  <si>
    <t>ORJ 009 - Obecní živnostenský úřad</t>
  </si>
  <si>
    <t xml:space="preserve">                    Kotlíkové dotace MSK</t>
  </si>
  <si>
    <t>1388/3713/6342</t>
  </si>
  <si>
    <t xml:space="preserve">                    Dotace na ekologické vytápění Kojetín</t>
  </si>
  <si>
    <t>1388/3634/6371</t>
  </si>
  <si>
    <t xml:space="preserve">                    Dotace ČOV</t>
  </si>
  <si>
    <t>1388/2321/6371</t>
  </si>
  <si>
    <t>641 - Oddělení rozvoje - dotace ČOV, topení Kojetín, kotlíkové dotace</t>
  </si>
  <si>
    <t xml:space="preserve">                   IS Žilina, Za Školou</t>
  </si>
  <si>
    <t>0539/3633/6121</t>
  </si>
  <si>
    <t xml:space="preserve">                   Rozšíření průmyslové zóny PD</t>
  </si>
  <si>
    <t>0538/3633/6121</t>
  </si>
  <si>
    <r>
      <t>Výstavba a údržba místních inženýrských sítí (IS)</t>
    </r>
    <r>
      <rPr>
        <sz val="9"/>
        <rFont val="Arial CE"/>
      </rPr>
      <t xml:space="preserve"> (účet 2310800)</t>
    </r>
  </si>
  <si>
    <t xml:space="preserve">                   VO K Archivu PD</t>
  </si>
  <si>
    <t>6383/3631/6121</t>
  </si>
  <si>
    <t xml:space="preserve">                   VO Loučka - Křenová, Jičínská, Za Potokem</t>
  </si>
  <si>
    <t>5367/3631/6121</t>
  </si>
  <si>
    <t xml:space="preserve">                   VO Smetanovy sady a Skalky </t>
  </si>
  <si>
    <t>5364/3631/6121</t>
  </si>
  <si>
    <t xml:space="preserve">                   VO Štefanikova ČSOB</t>
  </si>
  <si>
    <t>5359/3631/6121</t>
  </si>
  <si>
    <t xml:space="preserve">                   Opatření ke snížení energ.náročnosti VO - EFEKT 2021</t>
  </si>
  <si>
    <t>5435/3631/6121</t>
  </si>
  <si>
    <r>
      <t xml:space="preserve">Veřejné osvětlení (VO) </t>
    </r>
    <r>
      <rPr>
        <sz val="9"/>
        <rFont val="Arial CE"/>
      </rPr>
      <t>(účet 2310800)</t>
    </r>
  </si>
  <si>
    <t xml:space="preserve">                   Kryté stání Loučka - opatření proti vodě, přeložka VO</t>
  </si>
  <si>
    <t>6389/3613/6121</t>
  </si>
  <si>
    <t xml:space="preserve">                   Oplocení vč. ochranné bariéry Školy života Žilina, Beskydská PD</t>
  </si>
  <si>
    <t>5424/3613/6121</t>
  </si>
  <si>
    <t xml:space="preserve">                   Úprava Smetanových sadů PD</t>
  </si>
  <si>
    <t>5369/3613/6121</t>
  </si>
  <si>
    <r>
      <t xml:space="preserve">Nebytové hospodářství </t>
    </r>
    <r>
      <rPr>
        <sz val="9"/>
        <rFont val="Arial CE"/>
      </rPr>
      <t>(účet 2310800)</t>
    </r>
  </si>
  <si>
    <t xml:space="preserve">                   Tenisová hala na ul. B. Martinů PD</t>
  </si>
  <si>
    <t>XXXX/3412/6121</t>
  </si>
  <si>
    <t xml:space="preserve">                   Skatepark ve sportovním areálu U Stadionu PD</t>
  </si>
  <si>
    <r>
      <t xml:space="preserve">Sportovní zařízení v majetku obce </t>
    </r>
    <r>
      <rPr>
        <sz val="9"/>
        <rFont val="Arial CE"/>
      </rPr>
      <t>(účet 2310800)</t>
    </r>
  </si>
  <si>
    <t xml:space="preserve">639 - Komunální služby a územní rozvoj </t>
  </si>
  <si>
    <t xml:space="preserve">                   Pohoštění</t>
  </si>
  <si>
    <t>1388/3639/5175</t>
  </si>
  <si>
    <t xml:space="preserve">                    Rozvojové plány, studie, propagace, marketing, Zdravé město, particip.rozpočet, administrace projektů, architektonické soutěže (víceúčelová sportovní hala), SPRM, rozvojové studie (revitalizace Horního nádraží, cykloopatření B. Martinů, urbanistická studie sportovní areál), pořízení sčítačů pro monitoring cyklodopravy, Jarní škola Zdravých měst   </t>
  </si>
  <si>
    <t>1388/3639/5169</t>
  </si>
  <si>
    <t xml:space="preserve">                    Konzultační služby (z toho městský architekt 460 000 Kč)</t>
  </si>
  <si>
    <t>1388/3639/5166</t>
  </si>
  <si>
    <t xml:space="preserve">                   Jarní škola NSZM - nájmy místností</t>
  </si>
  <si>
    <t>1388/3639/5164</t>
  </si>
  <si>
    <t xml:space="preserve">                    Ostatní materiál</t>
  </si>
  <si>
    <t>1388/3639/5139</t>
  </si>
  <si>
    <t xml:space="preserve">                    Dohody (odměny) Architektonická soutěž Hala NJ</t>
  </si>
  <si>
    <t>1388/3639/5021</t>
  </si>
  <si>
    <t>Komunální služby a rozvoj - plány, propagace, marketing, Zdravé město (účet 2310800)</t>
  </si>
  <si>
    <t xml:space="preserve">                    Studie - oddělení investic</t>
  </si>
  <si>
    <t>1388/3613/5169</t>
  </si>
  <si>
    <t>Komunální služby - nebytové prostory  - oddělení investic (účet 2310800)</t>
  </si>
  <si>
    <t xml:space="preserve">615 - Oddělení rozvoje - plány, marketing, Zdravé město </t>
  </si>
  <si>
    <t xml:space="preserve">                    Autobusová zastávka Straník na pozemku p. č. 191/45</t>
  </si>
  <si>
    <t>XXXX/2221/6121</t>
  </si>
  <si>
    <r>
      <t>Provoz veřejné silniční dopravy</t>
    </r>
    <r>
      <rPr>
        <sz val="9"/>
        <rFont val="Arial CE"/>
      </rPr>
      <t xml:space="preserve"> (účet 2310800)</t>
    </r>
  </si>
  <si>
    <t>XXXX/2219/6121</t>
  </si>
  <si>
    <t xml:space="preserve">                    Regenerace panelového sídliště Nerudova PD</t>
  </si>
  <si>
    <t xml:space="preserve">                    Parkoviště Smetanovy sady, bytové domy č. o. 20, 22, 24 PD</t>
  </si>
  <si>
    <t xml:space="preserve">                    Parkovací stání Revoluční p. č. 673/13 PD</t>
  </si>
  <si>
    <t xml:space="preserve">                    Parkoviště Luční p. č.  218/9 PD</t>
  </si>
  <si>
    <t xml:space="preserve">                    Parkoviště Dlouhá (výměníková stanice - bytový dům č. o. 40) PD</t>
  </si>
  <si>
    <t xml:space="preserve">                    Parkovací stání Dlouhá, bytové domy č. o. 42 - 48 PD</t>
  </si>
  <si>
    <t xml:space="preserve">                    Parkoviště Budovatelů, bytové domy č. o. 5, 7, 9  PD</t>
  </si>
  <si>
    <t xml:space="preserve">                    Parkoviště Hoblíkova PD</t>
  </si>
  <si>
    <t xml:space="preserve">                    Společná stezka pro chodce a cyklisty, Rybníčky  PD</t>
  </si>
  <si>
    <t xml:space="preserve">                    Parkoviště Restaurace Na Skalkách </t>
  </si>
  <si>
    <t>8384/2219/6121</t>
  </si>
  <si>
    <t xml:space="preserve">                    Kontejnerová stání </t>
  </si>
  <si>
    <t>7385/2219/6121</t>
  </si>
  <si>
    <t xml:space="preserve">                    Chodníkové těleso u silnice I/57 p. č. 700/1 Bludovice </t>
  </si>
  <si>
    <t>5431/2219/6121</t>
  </si>
  <si>
    <t xml:space="preserve">                    Parkoviště B. Martinů - krátkodobé stání</t>
  </si>
  <si>
    <t>5421/2219/6121</t>
  </si>
  <si>
    <t xml:space="preserve">                    Rozšíření odstavných ploch Vančurova  č. o. 2 -10 PD</t>
  </si>
  <si>
    <t>5420/2219/6121</t>
  </si>
  <si>
    <t xml:space="preserve">                    Parkoviště Dlouhá č. o. 8 - 14, 2. etapa </t>
  </si>
  <si>
    <t>5419/2219/6121</t>
  </si>
  <si>
    <t xml:space="preserve">                    Chodníkové těleso k autobusové zastávce Bocheta </t>
  </si>
  <si>
    <t>5417/2219/6121</t>
  </si>
  <si>
    <t xml:space="preserve">                    Parkovací stání Dlouhá (úsek Palackého - Budovatelů)</t>
  </si>
  <si>
    <t>5406/2219/6121</t>
  </si>
  <si>
    <t xml:space="preserve">                    Chodníkové těleso, opěrná zeď Revoluční I/57 </t>
  </si>
  <si>
    <t>5375/2219/6121</t>
  </si>
  <si>
    <t xml:space="preserve">                    Prodloužení turistické trasy Čerťák PD</t>
  </si>
  <si>
    <t>5372/2219/6121</t>
  </si>
  <si>
    <t xml:space="preserve">                    Cykloboxy PD</t>
  </si>
  <si>
    <t>5371/2219/6121</t>
  </si>
  <si>
    <t xml:space="preserve">                    Čerťák 3. etapa</t>
  </si>
  <si>
    <t>5370/2219/6121</t>
  </si>
  <si>
    <t xml:space="preserve">                    Cyklostezka NJ - Hostašovice, vlečka </t>
  </si>
  <si>
    <t>2386/2219/6121</t>
  </si>
  <si>
    <t xml:space="preserve">                    Laudonovo nádvoří </t>
  </si>
  <si>
    <t>2384/2219/6121</t>
  </si>
  <si>
    <t xml:space="preserve">                     Velkoplošné opravy chodníků nad 500 000 Kč </t>
  </si>
  <si>
    <t>0386/2219/5171</t>
  </si>
  <si>
    <t>0386/2219/5169</t>
  </si>
  <si>
    <r>
      <t xml:space="preserve">Ostatní záležitosti pozemních komunikací </t>
    </r>
    <r>
      <rPr>
        <sz val="9"/>
        <rFont val="Arial CE"/>
      </rPr>
      <t>(účet 2310800)</t>
    </r>
  </si>
  <si>
    <t xml:space="preserve">                     Rekonstrukce komunikace Straník - Kojetín PD</t>
  </si>
  <si>
    <t>XXXX/2212/6121</t>
  </si>
  <si>
    <t xml:space="preserve">                     Komunikace - propojení Hoblíkova - Žižkova PD</t>
  </si>
  <si>
    <t xml:space="preserve">                     Most Dolní Brána (u Laposu) </t>
  </si>
  <si>
    <t xml:space="preserve">                     Stacionární místo pro radar Bludovice </t>
  </si>
  <si>
    <t>9388/2212/6121</t>
  </si>
  <si>
    <t xml:space="preserve">                     Most Loučka, V Kútě PD</t>
  </si>
  <si>
    <t>9386/2212/6121</t>
  </si>
  <si>
    <t xml:space="preserve">                     Most Revoluční u domu č. p. 105 </t>
  </si>
  <si>
    <t>8386/2212/6121</t>
  </si>
  <si>
    <t xml:space="preserve">                     Lávka Novosady PD</t>
  </si>
  <si>
    <t>5433/2212/6121</t>
  </si>
  <si>
    <t xml:space="preserve">                     Přechod SVČ Fokus, K Nemocnici </t>
  </si>
  <si>
    <t>5432/2212/6121</t>
  </si>
  <si>
    <t xml:space="preserve">                     Komunikace  Žilina, Potoční</t>
  </si>
  <si>
    <t>5414/2212/6121</t>
  </si>
  <si>
    <r>
      <t xml:space="preserve">                     M</t>
    </r>
    <r>
      <rPr>
        <sz val="10"/>
        <rFont val="Arial CE"/>
      </rPr>
      <t>ost Jiráskova, pod gymnáziem PD</t>
    </r>
  </si>
  <si>
    <t>5391/2212/6121</t>
  </si>
  <si>
    <t xml:space="preserve">                     Most - propustek Straník č. p. 86 </t>
  </si>
  <si>
    <t>5390/2212/6121</t>
  </si>
  <si>
    <t xml:space="preserve">                     Rozšíření komunikace Kojetín p. č. 625/1 (Bala) </t>
  </si>
  <si>
    <t>5379/2212/6121</t>
  </si>
  <si>
    <t xml:space="preserve">                     Příjezdová  komunikace areál ČSAD</t>
  </si>
  <si>
    <t>5376/2212/6121</t>
  </si>
  <si>
    <t xml:space="preserve">                     Rondel Gen. Hlaďo - K Nemocnici PD</t>
  </si>
  <si>
    <t>4385/2212/6121</t>
  </si>
  <si>
    <t xml:space="preserve">                     Velkoplošné opravy MK nad 500 000 Kč </t>
  </si>
  <si>
    <t>0386/2212/5171</t>
  </si>
  <si>
    <t>0386/2212/5169</t>
  </si>
  <si>
    <r>
      <t xml:space="preserve">Silnice </t>
    </r>
    <r>
      <rPr>
        <sz val="9"/>
        <rFont val="Arial CE"/>
      </rPr>
      <t>(účet 2310800)</t>
    </r>
  </si>
  <si>
    <t>610 - Doprava</t>
  </si>
  <si>
    <t xml:space="preserve">                      Odvodnění lokality Loučka, Na Lani (cyklostezka, kryté stání) PD</t>
  </si>
  <si>
    <t>XXXX/2321/6121</t>
  </si>
  <si>
    <t xml:space="preserve">                      Kanalizace Trlicova - aktualizace PD</t>
  </si>
  <si>
    <t>9387/2321/6121</t>
  </si>
  <si>
    <t xml:space="preserve">                      Kanalizace Žilina, Okružní PD</t>
  </si>
  <si>
    <t>8387/2321/6121</t>
  </si>
  <si>
    <t xml:space="preserve">                      Jednotná kanalizace Žilina, Příčná </t>
  </si>
  <si>
    <t>5434/2321/6121</t>
  </si>
  <si>
    <r>
      <t xml:space="preserve">Odvádění a čištění odpadních vod a nakládání s kaly </t>
    </r>
    <r>
      <rPr>
        <sz val="9"/>
        <rFont val="Arial CE"/>
      </rPr>
      <t>(účet 2310800)</t>
    </r>
  </si>
  <si>
    <t xml:space="preserve">                      Vodovod Bludovice, Záhumenní </t>
  </si>
  <si>
    <t>6387/2310/6121</t>
  </si>
  <si>
    <t xml:space="preserve">                      Vodovod Žilina, Pstruží potok - Životice </t>
  </si>
  <si>
    <t>5387/2310/6121</t>
  </si>
  <si>
    <t xml:space="preserve">                      Vodovod Loučka, Císařská </t>
  </si>
  <si>
    <t>4387/2310/6121</t>
  </si>
  <si>
    <r>
      <t>Pitná voda</t>
    </r>
    <r>
      <rPr>
        <sz val="9"/>
        <rFont val="Arial CE"/>
      </rPr>
      <t xml:space="preserve"> (účet 2310800)</t>
    </r>
  </si>
  <si>
    <t>602 - Vodní hospodářství</t>
  </si>
  <si>
    <t xml:space="preserve">ORJ 6XX - Odbor rozvoje a investic </t>
  </si>
  <si>
    <r>
      <t xml:space="preserve">z toho: mobiliář </t>
    </r>
    <r>
      <rPr>
        <sz val="9"/>
        <rFont val="Arial CE"/>
        <charset val="238"/>
      </rPr>
      <t>(TSM 200)</t>
    </r>
  </si>
  <si>
    <t>0517/3699/5331</t>
  </si>
  <si>
    <r>
      <t xml:space="preserve">Ostatní záležitosti bydlení, komunálních služeb a územního rozvoje </t>
    </r>
    <r>
      <rPr>
        <sz val="9"/>
        <rFont val="Arial CE"/>
        <charset val="238"/>
      </rPr>
      <t>(účet 2310800)</t>
    </r>
  </si>
  <si>
    <r>
      <t xml:space="preserve">            přípojky na televizní kabelové rozvody Straník - materiál</t>
    </r>
    <r>
      <rPr>
        <sz val="9"/>
        <rFont val="Arial CE"/>
        <charset val="238"/>
      </rPr>
      <t xml:space="preserve"> (účet 231 0800)</t>
    </r>
  </si>
  <si>
    <t>0382/3639/5139</t>
  </si>
  <si>
    <r>
      <t xml:space="preserve">z toho: investice celkem - zápočet oplocení p. Perútka </t>
    </r>
    <r>
      <rPr>
        <sz val="9"/>
        <rFont val="Arial CE"/>
        <charset val="238"/>
      </rPr>
      <t>(účet 2310440)</t>
    </r>
  </si>
  <si>
    <t>0382/3639/6121</t>
  </si>
  <si>
    <r>
      <t>Komunální služby a územní rozvoj j.n.</t>
    </r>
    <r>
      <rPr>
        <sz val="9"/>
        <rFont val="Arial CE"/>
        <family val="2"/>
        <charset val="238"/>
      </rPr>
      <t xml:space="preserve"> </t>
    </r>
  </si>
  <si>
    <t xml:space="preserve">             opravy a údržba hřbitova</t>
  </si>
  <si>
    <t>0382/3632/5171</t>
  </si>
  <si>
    <t xml:space="preserve">             příspěvek TSM - údržba</t>
  </si>
  <si>
    <t>0517/3632/5331</t>
  </si>
  <si>
    <t xml:space="preserve">                    Projektová dokumentace ke GO smuteční síně a márnice</t>
  </si>
  <si>
    <t>0517/3632/6351</t>
  </si>
  <si>
    <t>z toho: investice celkem = inv. příspěvky TSM</t>
  </si>
  <si>
    <r>
      <t xml:space="preserve">Pohřebnictví </t>
    </r>
    <r>
      <rPr>
        <sz val="10"/>
        <rFont val="Arial CE"/>
        <charset val="238"/>
      </rPr>
      <t xml:space="preserve">(účet 2310800) </t>
    </r>
  </si>
  <si>
    <t xml:space="preserve">             elektrická energie </t>
  </si>
  <si>
    <t>0382/3631/5154</t>
  </si>
  <si>
    <t xml:space="preserve">             příspěvek TSM</t>
  </si>
  <si>
    <t>0517/3631/5331</t>
  </si>
  <si>
    <r>
      <t xml:space="preserve">Veřejné osvětlení (VO) </t>
    </r>
    <r>
      <rPr>
        <sz val="9"/>
        <rFont val="Arial CE"/>
        <charset val="238"/>
      </rPr>
      <t>(účet 2310800)</t>
    </r>
  </si>
  <si>
    <t xml:space="preserve">              elektrická energie</t>
  </si>
  <si>
    <t>0382/3613/5154</t>
  </si>
  <si>
    <t xml:space="preserve">              voda</t>
  </si>
  <si>
    <t>0382/3613/5151</t>
  </si>
  <si>
    <r>
      <t xml:space="preserve">Nebytové hospodářství </t>
    </r>
    <r>
      <rPr>
        <sz val="9"/>
        <rFont val="Arial CE"/>
        <charset val="238"/>
      </rPr>
      <t>(účet 2310800)</t>
    </r>
  </si>
  <si>
    <t xml:space="preserve">             Dětská hřiště - příspěvek na údržbu a opravy TSM </t>
  </si>
  <si>
    <t>0517/3421/5331</t>
  </si>
  <si>
    <r>
      <t xml:space="preserve">Využití volného času dětí a mládeže </t>
    </r>
    <r>
      <rPr>
        <sz val="9"/>
        <rFont val="Arial CE"/>
        <charset val="238"/>
      </rPr>
      <t>(účet 2310800)</t>
    </r>
  </si>
  <si>
    <r>
      <t>Rozhlas a televize</t>
    </r>
    <r>
      <rPr>
        <sz val="9"/>
        <rFont val="Arial CE"/>
        <charset val="238"/>
      </rPr>
      <t xml:space="preserve"> (účet 2310800) </t>
    </r>
  </si>
  <si>
    <t xml:space="preserve">139 - Komunální služby </t>
  </si>
  <si>
    <r>
      <t xml:space="preserve">            věcná břemena (</t>
    </r>
    <r>
      <rPr>
        <sz val="9"/>
        <rFont val="Arial CE"/>
        <charset val="238"/>
      </rPr>
      <t>účet 2310800)</t>
    </r>
  </si>
  <si>
    <t>0002/3639/5122</t>
  </si>
  <si>
    <r>
      <t xml:space="preserve">            věcná břemena (</t>
    </r>
    <r>
      <rPr>
        <sz val="9"/>
        <rFont val="Arial CE"/>
        <charset val="238"/>
      </rPr>
      <t>účet 2310440)</t>
    </r>
  </si>
  <si>
    <r>
      <rPr>
        <sz val="10"/>
        <rFont val="Arial CE"/>
        <charset val="238"/>
      </rPr>
      <t xml:space="preserve">z toho: investice - výkupy pozemků </t>
    </r>
    <r>
      <rPr>
        <sz val="9"/>
        <rFont val="Arial CE"/>
        <charset val="238"/>
      </rPr>
      <t>(ostatní 0,5+Orlita 0,9+Jednota 0,2)</t>
    </r>
  </si>
  <si>
    <t>0092/3639/6130</t>
  </si>
  <si>
    <t>Komunální služby a územní rozvoj j.n.</t>
  </si>
  <si>
    <t>120 - Majetkoprávní záležitosti</t>
  </si>
  <si>
    <t xml:space="preserve">            opravy autobusových přístřešků</t>
  </si>
  <si>
    <t>0386/2221/5171</t>
  </si>
  <si>
    <t>z toho: služby - revize, poplatky, PD k opravám</t>
  </si>
  <si>
    <t>0386/2221/5169</t>
  </si>
  <si>
    <r>
      <t>Provoz veřejné silniční dopravy</t>
    </r>
    <r>
      <rPr>
        <sz val="9"/>
        <rFont val="Arial CE"/>
        <charset val="238"/>
      </rPr>
      <t xml:space="preserve"> (účet 2310800)</t>
    </r>
  </si>
  <si>
    <t xml:space="preserve">             opravy a udržování chodníků</t>
  </si>
  <si>
    <t xml:space="preserve">             služby - PD k opravám, revize, poplatky</t>
  </si>
  <si>
    <r>
      <t xml:space="preserve">Ostatní záležitosti pozemních komunikací </t>
    </r>
    <r>
      <rPr>
        <sz val="9"/>
        <rFont val="Arial CE"/>
        <charset val="238"/>
      </rPr>
      <t>(účet 2310800)</t>
    </r>
  </si>
  <si>
    <t xml:space="preserve">             oprava a údržba místních komunikací - město</t>
  </si>
  <si>
    <r>
      <t xml:space="preserve">             oprava a údržba místních komunikací </t>
    </r>
    <r>
      <rPr>
        <sz val="9"/>
        <rFont val="Arial CE"/>
        <family val="2"/>
        <charset val="238"/>
      </rPr>
      <t>(TSM)</t>
    </r>
  </si>
  <si>
    <t>0517/2212/5331</t>
  </si>
  <si>
    <r>
      <t xml:space="preserve">             veřejně prospěšné práce </t>
    </r>
    <r>
      <rPr>
        <sz val="9"/>
        <rFont val="Arial CE"/>
        <family val="2"/>
        <charset val="238"/>
      </rPr>
      <t>(TSM)</t>
    </r>
  </si>
  <si>
    <t xml:space="preserve">                  dřevěné prodejní stánky (TSM)</t>
  </si>
  <si>
    <t>0517/2212/6351</t>
  </si>
  <si>
    <t xml:space="preserve">                  parkovací automaty - obnova (TSM)</t>
  </si>
  <si>
    <t>z toho: Investice celkem</t>
  </si>
  <si>
    <r>
      <t xml:space="preserve">Silnice </t>
    </r>
    <r>
      <rPr>
        <sz val="8"/>
        <rFont val="Arial CE"/>
        <charset val="238"/>
      </rPr>
      <t>(účet 2310800)</t>
    </r>
  </si>
  <si>
    <t>110 - Doprava</t>
  </si>
  <si>
    <t xml:space="preserve">            opravy a údržba</t>
  </si>
  <si>
    <t>0387/2333/5171</t>
  </si>
  <si>
    <t xml:space="preserve">            revize, poplatky, PD k opravám</t>
  </si>
  <si>
    <t>0387/2333/5169</t>
  </si>
  <si>
    <r>
      <t xml:space="preserve">Úpravy drobných vodních toků </t>
    </r>
    <r>
      <rPr>
        <sz val="10"/>
        <rFont val="Arial CE"/>
        <charset val="238"/>
      </rPr>
      <t>(účet 231 0800)</t>
    </r>
  </si>
  <si>
    <r>
      <t xml:space="preserve">            Plán financování obnovy </t>
    </r>
    <r>
      <rPr>
        <sz val="9"/>
        <rFont val="Arial CE"/>
        <charset val="238"/>
      </rPr>
      <t>(účet 2310441) - opr. a udržování (rekonstrukce - obnova kanallizačních šachet ul. Slezská a Na Prachárně)</t>
    </r>
  </si>
  <si>
    <t>0387/2321/5171</t>
  </si>
  <si>
    <t xml:space="preserve">            revize, poplatky, PD k opravám, pasport kanalizace</t>
  </si>
  <si>
    <t>0387/2321/5169</t>
  </si>
  <si>
    <t xml:space="preserve">            studená voda </t>
  </si>
  <si>
    <t>0387/2321/5151</t>
  </si>
  <si>
    <r>
      <t xml:space="preserve">Odvádění a čištění odpadních vod a nakládání s kaly </t>
    </r>
    <r>
      <rPr>
        <sz val="9"/>
        <rFont val="Arial CE"/>
        <charset val="238"/>
      </rPr>
      <t>(účet 2310800)</t>
    </r>
  </si>
  <si>
    <r>
      <t xml:space="preserve">           </t>
    </r>
    <r>
      <rPr>
        <sz val="9"/>
        <rFont val="Arial CE"/>
        <charset val="238"/>
      </rPr>
      <t>opravy a udržba</t>
    </r>
  </si>
  <si>
    <t>0387/2310/5171</t>
  </si>
  <si>
    <r>
      <t xml:space="preserve">           </t>
    </r>
    <r>
      <rPr>
        <sz val="9"/>
        <rFont val="Arial CE"/>
        <charset val="238"/>
      </rPr>
      <t xml:space="preserve">PD k opravám, pasport vodovodů </t>
    </r>
  </si>
  <si>
    <t>0387/2310/5169</t>
  </si>
  <si>
    <t xml:space="preserve">           dovoz pitné vody </t>
  </si>
  <si>
    <t>0387/2310/5151</t>
  </si>
  <si>
    <r>
      <t>Pitná voda</t>
    </r>
    <r>
      <rPr>
        <sz val="9"/>
        <rFont val="Arial CE"/>
        <family val="2"/>
        <charset val="238"/>
      </rPr>
      <t xml:space="preserve"> (účet 2310800)</t>
    </r>
  </si>
  <si>
    <t>102 - Vodní hospodářství</t>
  </si>
  <si>
    <t>ORJ 1xx - Odbor správy majetku</t>
  </si>
  <si>
    <t>Výdaje</t>
  </si>
  <si>
    <t>Úhrn zdrojů</t>
  </si>
  <si>
    <t xml:space="preserve">            DPH - přenesená daňová povinnost</t>
  </si>
  <si>
    <t xml:space="preserve">            splátky úvěru do DSO regionu Novojičínska - Kanalizace Žilina-Loučka</t>
  </si>
  <si>
    <t>Operace z peněžních účtů organizace nemající charakter příjmů a výdajů vládního sektoru</t>
  </si>
  <si>
    <t>Změna stavu dlouhodobých prostředků na bankovních účtech</t>
  </si>
  <si>
    <r>
      <t>Dlouhodobé přijaté půjčené prostředky</t>
    </r>
    <r>
      <rPr>
        <sz val="9"/>
        <rFont val="Arial CE"/>
        <charset val="238"/>
      </rPr>
      <t xml:space="preserve"> (investiční úvěr na akce: Revitalizace K Archívu 2+Revitalizace Zborovská 11+Revitalizace Na Lani 212)</t>
    </r>
  </si>
  <si>
    <r>
      <t xml:space="preserve">Aktivní krátkodobé operace řízení likvidity - příjmy </t>
    </r>
    <r>
      <rPr>
        <sz val="9"/>
        <rFont val="Arial CE"/>
        <charset val="238"/>
      </rPr>
      <t>(zhodnocování volných finančních zdrojů města)</t>
    </r>
  </si>
  <si>
    <r>
      <t xml:space="preserve">Změna stavu krátkodobých prostředků na bankovních účtech </t>
    </r>
    <r>
      <rPr>
        <sz val="9"/>
        <rFont val="Arial CE"/>
        <charset val="238"/>
      </rPr>
      <t>(zapojení konečného zůstatku k 31.12.2020 na účtech města)</t>
    </r>
  </si>
  <si>
    <t>Třída 8 - Financování</t>
  </si>
  <si>
    <t>Příjmy celkem</t>
  </si>
  <si>
    <t xml:space="preserve">             Cyklostezka NJ-Hostašovice - úsek vojenská vlečka (ÚZ 719)</t>
  </si>
  <si>
    <t xml:space="preserve">             Rozšíření průmyslové zóny 2.etapa - dotace MSK (ÚZ 201)</t>
  </si>
  <si>
    <t xml:space="preserve">             Podpora technických atraktivit v NJ (ÚZ 201)</t>
  </si>
  <si>
    <t xml:space="preserve">             Huckelovy vily (ÚZ 201) - dotace</t>
  </si>
  <si>
    <t>Investiční přijaté transfery od krajů</t>
  </si>
  <si>
    <t xml:space="preserve">              Opatření ke snížení energ.náročnosti VO - EFEKT 2021 (ÚZ 22500) </t>
  </si>
  <si>
    <t xml:space="preserve">             Na Lani 212 (revitalizace bytového domu) -  dle rozhodnutí o poskytnutí dotace</t>
  </si>
  <si>
    <t xml:space="preserve">             Zborovská 11 (revitalizace bytového domu) - dle rozhodnutí o poskytnutí dotace</t>
  </si>
  <si>
    <t>Ostatní investiční přijaté transfery ze státního rozpočtu</t>
  </si>
  <si>
    <t xml:space="preserve">              SZIF- IV-EU-Program na rozvoj venkova-proj.Oprava kamenného divadla Skalky (ÚZ 89510)</t>
  </si>
  <si>
    <t xml:space="preserve">              SZIF- IV-SR-Program na rozvoj venkova-proj.Oprava kamenného divadla Skalky (ÚZ 89509)</t>
  </si>
  <si>
    <t xml:space="preserve">              SZIF-dotace pro JSDH Straník</t>
  </si>
  <si>
    <t xml:space="preserve">              SFŽP -IV- nákup vozidel na alternativní pohon pro město NJ (ÚZ 90992)</t>
  </si>
  <si>
    <t>Investiční přijaté transfery ze SF</t>
  </si>
  <si>
    <r>
      <t xml:space="preserve">              poskytování sociálních služeb (ÚZ 13305) - </t>
    </r>
    <r>
      <rPr>
        <sz val="9"/>
        <rFont val="Arial CE"/>
        <charset val="238"/>
      </rPr>
      <t>pro Prosenior</t>
    </r>
  </si>
  <si>
    <t xml:space="preserve">              zajištění výkonu regionálních funkcí knihoven-MěKS (ÚZ 345)</t>
  </si>
  <si>
    <t xml:space="preserve">              podpora technických atraktivit v NJ (ÚZ 201)</t>
  </si>
  <si>
    <t xml:space="preserve">              Okresní a kraj.soutěže typu AaB-SVČ Fokus (ÚZ 133)</t>
  </si>
  <si>
    <t xml:space="preserve">Neinvestiční přijaté transfery od krajů </t>
  </si>
  <si>
    <r>
      <t xml:space="preserve">             za veřejnoprávní smlouvy s ostatními obcemi </t>
    </r>
    <r>
      <rPr>
        <sz val="9"/>
        <rFont val="Arial CE"/>
        <charset val="238"/>
      </rPr>
      <t>(</t>
    </r>
    <r>
      <rPr>
        <sz val="10"/>
        <rFont val="Arial CE"/>
        <charset val="238"/>
      </rPr>
      <t>stavební úřad</t>
    </r>
    <r>
      <rPr>
        <sz val="9"/>
        <rFont val="Arial CE"/>
        <charset val="238"/>
      </rPr>
      <t>)</t>
    </r>
  </si>
  <si>
    <t xml:space="preserve">             za veřejnoprávní smlouvy s ostatními obcemi (odbor životního prostředí - veř.zeleň)</t>
  </si>
  <si>
    <t xml:space="preserve">             na poskytování podpory soc.služeb dle zákona o soc.službách ORJ 541, org.1114</t>
  </si>
  <si>
    <t xml:space="preserve">             na poskytování podpory soc.služeb dle zákona o soc.službách ORJ 541, org.1113</t>
  </si>
  <si>
    <t xml:space="preserve">             za poskytování odlehčovací služby Pohoda (ProSenior NJ)</t>
  </si>
  <si>
    <r>
      <t xml:space="preserve">             za veřejnopravní smlouvy s ostatními obcemi </t>
    </r>
    <r>
      <rPr>
        <sz val="9"/>
        <rFont val="Arial CE"/>
        <family val="2"/>
        <charset val="238"/>
      </rPr>
      <t>(Městská policie-odchyt psů)</t>
    </r>
  </si>
  <si>
    <r>
      <t xml:space="preserve">z toho: za veřejnoprávní smlouvy s ostatními obcemi na úseku přestupků </t>
    </r>
    <r>
      <rPr>
        <sz val="9"/>
        <rFont val="Arial CE"/>
        <family val="2"/>
        <charset val="238"/>
      </rPr>
      <t>(odbor přestupkových agend)</t>
    </r>
  </si>
  <si>
    <t>Neinvestiční přijaté transfery od obcí</t>
  </si>
  <si>
    <t xml:space="preserve">              Na výkon sociální práce mimo SPOD (ÚZ 13015)</t>
  </si>
  <si>
    <t xml:space="preserve">              Výkon sociálněprávní ochrany dětí (ÚZ 13011)</t>
  </si>
  <si>
    <t xml:space="preserve">              Výkon pěstounské péče (ÚZ 13010)</t>
  </si>
  <si>
    <r>
      <t xml:space="preserve">              ostatní </t>
    </r>
    <r>
      <rPr>
        <sz val="9"/>
        <rFont val="Arial CE"/>
        <family val="2"/>
        <charset val="238"/>
      </rPr>
      <t>(minimální podíl melioračních dřevin, aj.)</t>
    </r>
  </si>
  <si>
    <t xml:space="preserve">Ostatní neinvestiční přijaté transfery ze státního rozpočtu </t>
  </si>
  <si>
    <r>
      <t xml:space="preserve">Neinvestiční přijaté transfery ze státního rozpočtu v rámci souhrnného dotačního vztahu </t>
    </r>
    <r>
      <rPr>
        <sz val="10"/>
        <rFont val="Arial CE"/>
        <family val="2"/>
        <charset val="238"/>
      </rPr>
      <t>(2020: příspěvek na výkon státní správy, z toho základní působnost 958935,0949 + matriční působnost 709659,9826 + příspěvek za narozené 520950 + příspěvek za sňatek 433320 + příspěvek za úmrtí 542800 + příspěvek za určení otcovství 39919 + stavební působnost 4236063,649 + pověřený obecní úřad 7723640,937 + rozšířená působnost 23616817,65 + obč.průkazy (5454 ks) + veřejné opatrovnictví 1363000 (47 opatr.) + 1530786 územní plánování + 236555 řidičské průkazy (2057 ks) + zaokrouhleno)                                                                                                                                                                                                                                                                                                                                                                                                                                                                     (2021: ...................................)</t>
    </r>
  </si>
  <si>
    <t xml:space="preserve">               kompenzační bonus v souvislosti s kriz.opatřeními spojenými s výskytem koronaviru </t>
  </si>
  <si>
    <t xml:space="preserve">Neinvestiční přijaté transfery z všeobecné pokladní správy státního rozpočtu </t>
  </si>
  <si>
    <t>Třída 4  - Přijaté transfery</t>
  </si>
  <si>
    <t xml:space="preserve">             Stavební úprava a nástavba objektu SVČ Fokus</t>
  </si>
  <si>
    <t xml:space="preserve">             Vybudování kotelny v DPS U Jičínky 25</t>
  </si>
  <si>
    <t xml:space="preserve">             Modernizace kotelny zimního stadionu- bude u dotace na Rekonstrukci střechy</t>
  </si>
  <si>
    <t>Ostatní investiční příjmy j.n.</t>
  </si>
  <si>
    <t>Přijaté příspěvky na pořízení dlouhodobého majetku</t>
  </si>
  <si>
    <r>
      <t xml:space="preserve">Přijaté dary na pořízení dlouhodobého majetku </t>
    </r>
    <r>
      <rPr>
        <sz val="10"/>
        <rFont val="Arial CE"/>
        <charset val="238"/>
      </rPr>
      <t>(chodník Na Valech-spoluúčast, komunikace ČSAD r. 2021)</t>
    </r>
  </si>
  <si>
    <r>
      <t>Ostatní příjmy z prodeje dlouhodobého majetku</t>
    </r>
    <r>
      <rPr>
        <sz val="9"/>
        <rFont val="Arial CE"/>
        <charset val="238"/>
      </rPr>
      <t xml:space="preserve"> (odbor organizační: metropolitní síť)</t>
    </r>
  </si>
  <si>
    <r>
      <t>Příjmy z prodeje ostatního hmotného dlouhodobého majetku</t>
    </r>
    <r>
      <rPr>
        <sz val="9"/>
        <rFont val="Arial CE"/>
        <charset val="238"/>
      </rPr>
      <t xml:space="preserve"> </t>
    </r>
  </si>
  <si>
    <t xml:space="preserve">            vodovodní řady města na pozemcích Žilina, Bludovice, NJ (ORJ 102)</t>
  </si>
  <si>
    <t xml:space="preserve">            bytový dům Beskydská 176 (Škola života) - odhad</t>
  </si>
  <si>
    <t xml:space="preserve">            nebytový dům U Jezu - celý areál - odhad</t>
  </si>
  <si>
    <t xml:space="preserve">            nebytový dům Hoblíkova 3</t>
  </si>
  <si>
    <t xml:space="preserve">            bytový dům Dolní Brána 26</t>
  </si>
  <si>
    <t xml:space="preserve">            bytový dům Hoblíkova 32</t>
  </si>
  <si>
    <t xml:space="preserve">            nebytový dům Karla Čapka 15</t>
  </si>
  <si>
    <t xml:space="preserve">z toho: bytový dům Purkyňova 40 (podíl města 64/100) </t>
  </si>
  <si>
    <t xml:space="preserve">Příjmy z prodeje ostatních nemovitých věcí a jejich částí </t>
  </si>
  <si>
    <r>
      <t xml:space="preserve">Příjmy z prodeje pozemků </t>
    </r>
    <r>
      <rPr>
        <sz val="10"/>
        <rFont val="Arial CE"/>
        <charset val="238"/>
      </rPr>
      <t>(v mil. Kč: za Kauflandem 5,95 + Dolní Brána 3,9 + IS Za Školou 3.etapa 44,064+ Lokalita Pod Skalkou 14,478 + chata Bludovice 0,8 + SBD Venkov 1,8 + trafostanice ČP 0,4 + ost. 2,5)</t>
    </r>
  </si>
  <si>
    <t>Třída 3 - Kapitálové příjmy</t>
  </si>
  <si>
    <r>
      <t xml:space="preserve">Splátky půjč.prostředků od podnik.subjektů-FO </t>
    </r>
    <r>
      <rPr>
        <sz val="10"/>
        <rFont val="Arial CE"/>
        <charset val="238"/>
      </rPr>
      <t>(návratná fin.výpomoc 2019 org.1180-Ing.Žitníková, projekt Beránek s plandavým ouškem)</t>
    </r>
  </si>
  <si>
    <t xml:space="preserve">             § 6409 odbor organizační </t>
  </si>
  <si>
    <t xml:space="preserve">             § 6171 odbor organizační (DPH)</t>
  </si>
  <si>
    <t xml:space="preserve">             § 4399 ostatní záležitosti soc.věcí a politiky zaměstnanosti</t>
  </si>
  <si>
    <t xml:space="preserve">             § 4351 domy s pečovatelskou službou (odbor bytový)</t>
  </si>
  <si>
    <r>
      <t xml:space="preserve">             § 3639 provoz internetu ve Straníku </t>
    </r>
    <r>
      <rPr>
        <sz val="10"/>
        <rFont val="Arial CE"/>
        <charset val="238"/>
      </rPr>
      <t>(odbor správy majetku)</t>
    </r>
  </si>
  <si>
    <r>
      <t xml:space="preserve">             § 3632</t>
    </r>
    <r>
      <rPr>
        <sz val="10"/>
        <rFont val="Arial CE"/>
        <charset val="238"/>
      </rPr>
      <t xml:space="preserve"> pohřebnictví </t>
    </r>
    <r>
      <rPr>
        <sz val="10"/>
        <rFont val="Arial CE"/>
        <charset val="238"/>
      </rPr>
      <t>(odbor sociálních věcí - příjmy ze sociálních pohřbů)</t>
    </r>
  </si>
  <si>
    <r>
      <t xml:space="preserve">             § 3613 chata Jičínka </t>
    </r>
    <r>
      <rPr>
        <sz val="10"/>
        <rFont val="Arial CE"/>
        <charset val="238"/>
      </rPr>
      <t>(org. 4381)=účet 2310440, OSM kovošrot 0,310 + ostatní=účet 2310600</t>
    </r>
  </si>
  <si>
    <t xml:space="preserve">             § 3613 nebytové hospodářství (odbor bytový)</t>
  </si>
  <si>
    <t xml:space="preserve">             § 3612 bytové hospodářství (odbor bytový)</t>
  </si>
  <si>
    <r>
      <t xml:space="preserve">             § 3341 kabelová televize Straník-přihlášky</t>
    </r>
    <r>
      <rPr>
        <sz val="9"/>
        <rFont val="Arial CE"/>
        <family val="2"/>
        <charset val="238"/>
      </rPr>
      <t xml:space="preserve"> </t>
    </r>
    <r>
      <rPr>
        <sz val="10"/>
        <rFont val="Arial CE"/>
        <charset val="238"/>
      </rPr>
      <t>(odbor správy majetku)</t>
    </r>
  </si>
  <si>
    <t>z toho: § 2292 dopravní obslužnost (odbor dopravy)</t>
  </si>
  <si>
    <t>Ostatní nedaňové příjmy j.n.</t>
  </si>
  <si>
    <t>Neidentifikované příjmy</t>
  </si>
  <si>
    <r>
      <t xml:space="preserve">             § 6409 ostatní činnosti j.n. (</t>
    </r>
    <r>
      <rPr>
        <sz val="9"/>
        <rFont val="Arial CE"/>
        <charset val="238"/>
      </rPr>
      <t>příspěvek na opravu kamenného divadla</t>
    </r>
    <r>
      <rPr>
        <sz val="10"/>
        <rFont val="Arial CE"/>
        <family val="2"/>
        <charset val="238"/>
      </rPr>
      <t>)</t>
    </r>
  </si>
  <si>
    <r>
      <t xml:space="preserve">             § 6171 činnost místní správy</t>
    </r>
    <r>
      <rPr>
        <sz val="9"/>
        <rFont val="Arial CE"/>
        <family val="2"/>
        <charset val="238"/>
      </rPr>
      <t xml:space="preserve"> (odbor finanční: exekuční a soudní náklady)</t>
    </r>
  </si>
  <si>
    <r>
      <t xml:space="preserve">             § 6171 činnost místní správy</t>
    </r>
    <r>
      <rPr>
        <sz val="9"/>
        <rFont val="Arial CE"/>
        <family val="2"/>
        <charset val="238"/>
      </rPr>
      <t xml:space="preserve"> (náhrady škod, dobropisy z min.let)</t>
    </r>
  </si>
  <si>
    <r>
      <t xml:space="preserve">             § 6171 činnost místní správy </t>
    </r>
    <r>
      <rPr>
        <sz val="9"/>
        <rFont val="Arial CE"/>
        <charset val="238"/>
      </rPr>
      <t>(odbor přestupkových agend: náklady řízení)</t>
    </r>
  </si>
  <si>
    <r>
      <t xml:space="preserve">             § 5311 bezpečnost a veřejný pořádek</t>
    </r>
    <r>
      <rPr>
        <sz val="9"/>
        <rFont val="Arial CE"/>
        <charset val="238"/>
      </rPr>
      <t xml:space="preserve"> (Městská policie: náhrady)</t>
    </r>
  </si>
  <si>
    <r>
      <t xml:space="preserve">             § 4329 ostatní soc.péče a pomoc dětem a mládeži</t>
    </r>
    <r>
      <rPr>
        <sz val="9"/>
        <rFont val="Arial CE"/>
        <family val="2"/>
        <charset val="238"/>
      </rPr>
      <t xml:space="preserve">   </t>
    </r>
  </si>
  <si>
    <r>
      <t xml:space="preserve">             § 3769 ostatní správa v ochraně životního prostředí</t>
    </r>
    <r>
      <rPr>
        <sz val="9"/>
        <rFont val="Arial CE"/>
        <family val="2"/>
        <charset val="238"/>
      </rPr>
      <t xml:space="preserve">       </t>
    </r>
  </si>
  <si>
    <r>
      <t xml:space="preserve">             § 3722 sběr a svoz komunálních odpadů </t>
    </r>
    <r>
      <rPr>
        <sz val="9"/>
        <rFont val="Arial CE"/>
        <family val="2"/>
        <charset val="238"/>
      </rPr>
      <t xml:space="preserve">(příspěvek od EKOKOMu)               </t>
    </r>
  </si>
  <si>
    <r>
      <t xml:space="preserve">             § 3639 náklady řízení </t>
    </r>
    <r>
      <rPr>
        <sz val="9"/>
        <rFont val="Arial CE"/>
        <charset val="238"/>
      </rPr>
      <t>(odbor finanční)</t>
    </r>
  </si>
  <si>
    <r>
      <t xml:space="preserve">             § 3632 pohřebnictví (</t>
    </r>
    <r>
      <rPr>
        <sz val="9"/>
        <rFont val="Arial CE"/>
        <charset val="238"/>
      </rPr>
      <t>příspěvek od Česko-něm fondu budoucnosti na sanaci čestných hrobů NJ</t>
    </r>
    <r>
      <rPr>
        <sz val="10"/>
        <rFont val="Arial CE"/>
        <family val="2"/>
        <charset val="238"/>
      </rPr>
      <t>)</t>
    </r>
  </si>
  <si>
    <r>
      <t xml:space="preserve">             § 3631 veřejné osvětlení (náhrada za </t>
    </r>
    <r>
      <rPr>
        <sz val="9"/>
        <rFont val="Arial CE"/>
        <charset val="238"/>
      </rPr>
      <t>VO na území obce Šenov u NJ+F67</t>
    </r>
    <r>
      <rPr>
        <sz val="10"/>
        <rFont val="Arial CE"/>
        <family val="2"/>
        <charset val="238"/>
      </rPr>
      <t>)</t>
    </r>
  </si>
  <si>
    <r>
      <t xml:space="preserve">             § 3613 nebytové hospodářství </t>
    </r>
    <r>
      <rPr>
        <sz val="9"/>
        <rFont val="Arial CE"/>
        <charset val="238"/>
      </rPr>
      <t>(odb.bytový: úhrada nákladů soudních řízení+popl.z prodlení,OSM 3,84798)</t>
    </r>
  </si>
  <si>
    <r>
      <t xml:space="preserve">             § 3612 bytové hospodářství </t>
    </r>
    <r>
      <rPr>
        <sz val="9"/>
        <rFont val="Arial CE"/>
        <charset val="238"/>
      </rPr>
      <t>(odbor bytový: úhrada nákladů soudních řízení+poplatky z prodlení)</t>
    </r>
  </si>
  <si>
    <r>
      <t xml:space="preserve">             § 2223 bezpečnost silničního provozu </t>
    </r>
    <r>
      <rPr>
        <sz val="9"/>
        <rFont val="Arial CE"/>
        <charset val="238"/>
      </rPr>
      <t>(dopravní přestupky: náklady řízení)</t>
    </r>
  </si>
  <si>
    <t xml:space="preserve">             § 2169 stavební úřad</t>
  </si>
  <si>
    <r>
      <t xml:space="preserve">             § 2141 vnitřní obchod </t>
    </r>
    <r>
      <rPr>
        <sz val="9"/>
        <rFont val="Arial CE"/>
        <family val="2"/>
        <charset val="238"/>
      </rPr>
      <t>(obecní živnostenský úřad: náklady řízení)</t>
    </r>
  </si>
  <si>
    <t>Přijaté nekapitálové příspěvky a náhrady</t>
  </si>
  <si>
    <t>Přijaté pojistné náhrady</t>
  </si>
  <si>
    <r>
      <t xml:space="preserve">Přijaté neinvestiční dary </t>
    </r>
    <r>
      <rPr>
        <sz val="9"/>
        <rFont val="Arial CE"/>
        <family val="2"/>
        <charset val="238"/>
      </rPr>
      <t xml:space="preserve">(Veolia Dalkia ČR-financování kulturních a společenských akcí města) </t>
    </r>
  </si>
  <si>
    <t>Příjmy z prodeje krd a drobného dld majetku</t>
  </si>
  <si>
    <t xml:space="preserve">           § 4171- § 4379 dávky a podpory v soc.zabezpečení z minulých let</t>
  </si>
  <si>
    <t xml:space="preserve">           § 3429 vratky veř.výpomoci 2019 - sport (org. 1141)</t>
  </si>
  <si>
    <t xml:space="preserve">           § 3419 vratky veř.výpomoci 2019 - sport (org.1134, 1136,1137, 1141, 1180)</t>
  </si>
  <si>
    <t xml:space="preserve">           § 3111 vratky veř.výpomoci 2019 - individuální žádosti kultura+sport (org.1180)</t>
  </si>
  <si>
    <t xml:space="preserve">           § 3111 MŠ vratky dotace 2019 - Šablony I (org. 0309)</t>
  </si>
  <si>
    <r>
      <t xml:space="preserve">Ostatní přijaté vratky transferů </t>
    </r>
    <r>
      <rPr>
        <sz val="10"/>
        <rFont val="Arial CE"/>
        <charset val="238"/>
      </rPr>
      <t>(příspěvků a dotací)</t>
    </r>
  </si>
  <si>
    <r>
      <t xml:space="preserve">             § 6171 pokuty </t>
    </r>
    <r>
      <rPr>
        <sz val="9"/>
        <rFont val="Arial CE"/>
        <family val="2"/>
        <charset val="238"/>
      </rPr>
      <t>(odbor správních agend)</t>
    </r>
  </si>
  <si>
    <r>
      <t xml:space="preserve">             § 6171 pokuty </t>
    </r>
    <r>
      <rPr>
        <sz val="9"/>
        <rFont val="Arial CE"/>
        <family val="2"/>
        <charset val="238"/>
      </rPr>
      <t>(odbor přestupkových agend)</t>
    </r>
  </si>
  <si>
    <r>
      <t xml:space="preserve">             § 5311 bezpečnost a veřejný pořádek </t>
    </r>
    <r>
      <rPr>
        <sz val="9"/>
        <rFont val="Arial CE"/>
        <charset val="238"/>
      </rPr>
      <t>(Městská policie: na místě zaplacené 500, na místě nezapl. 150)</t>
    </r>
  </si>
  <si>
    <t xml:space="preserve">             § 3769 ostatní správa v ochraně životního prostředí       </t>
  </si>
  <si>
    <t xml:space="preserve">             § 3633 smluvní pokuta IS RD Za Školou</t>
  </si>
  <si>
    <t xml:space="preserve">             § 3613 smluvní pokuta Čerťák (odbor bytový)</t>
  </si>
  <si>
    <r>
      <t xml:space="preserve">             § 2223 dopravní přestupky </t>
    </r>
    <r>
      <rPr>
        <sz val="9"/>
        <rFont val="Arial CE"/>
        <charset val="238"/>
      </rPr>
      <t>(radary)</t>
    </r>
  </si>
  <si>
    <t xml:space="preserve">             § 2223 dopravní přestupky </t>
  </si>
  <si>
    <r>
      <t xml:space="preserve">z toho:  § 2141 vnitřní obchod </t>
    </r>
    <r>
      <rPr>
        <sz val="9"/>
        <rFont val="Arial CE"/>
        <charset val="238"/>
      </rPr>
      <t>(obecní živnostenský úřad: ve správním řízení 5, v blokovém řízení 15)</t>
    </r>
  </si>
  <si>
    <t>Sankční platby přijaté od jiných subjektů</t>
  </si>
  <si>
    <t>Příjmy z úroků</t>
  </si>
  <si>
    <r>
      <t xml:space="preserve">              § 4379 v klubech seniorů </t>
    </r>
    <r>
      <rPr>
        <sz val="9"/>
        <rFont val="Arial CE"/>
        <family val="2"/>
        <charset val="238"/>
      </rPr>
      <t xml:space="preserve">(nájmy: dlouhodobé 16, krátkodobé 11) </t>
    </r>
  </si>
  <si>
    <r>
      <t xml:space="preserve">              § 4351 v domech s pečovatelskou službou </t>
    </r>
    <r>
      <rPr>
        <sz val="9"/>
        <rFont val="Arial CE"/>
        <family val="2"/>
        <charset val="238"/>
      </rPr>
      <t xml:space="preserve">(nájmy: krátkodobé 18), </t>
    </r>
    <r>
      <rPr>
        <sz val="8"/>
        <rFont val="Arial CE"/>
        <charset val="238"/>
      </rPr>
      <t>pozn.:skut.k 31.8.2020 vč.pol.2329</t>
    </r>
  </si>
  <si>
    <r>
      <t xml:space="preserve">              § 3634 v zásobování teplem </t>
    </r>
    <r>
      <rPr>
        <sz val="9"/>
        <rFont val="Arial CE"/>
        <family val="2"/>
        <charset val="238"/>
      </rPr>
      <t>(VEOLIA)</t>
    </r>
  </si>
  <si>
    <r>
      <t xml:space="preserve">              § 3613 v nebytových prostorech </t>
    </r>
    <r>
      <rPr>
        <sz val="9"/>
        <rFont val="Arial CE"/>
        <charset val="238"/>
      </rPr>
      <t>(odbor bytový: nájmy 13500, zálohy na služby 3000, kryté stání Loučka 240, krátkodobé 20, Hotel Praha 746, zálohy na služby a energie Hotel Praha 216, nájem teplovod Smet.sady 134)</t>
    </r>
  </si>
  <si>
    <r>
      <t xml:space="preserve">              § 3613 v nebyt.prostorech </t>
    </r>
    <r>
      <rPr>
        <sz val="9"/>
        <rFont val="Arial CE"/>
        <family val="2"/>
        <charset val="238"/>
      </rPr>
      <t>(odbor správy majetku: s DPH 0% je 100 =nájem plynovodu, s DPH 21%=325)</t>
    </r>
  </si>
  <si>
    <r>
      <t xml:space="preserve">              § 3613 v nebytových prostorech </t>
    </r>
    <r>
      <rPr>
        <sz val="9"/>
        <rFont val="Arial CE"/>
        <family val="2"/>
        <charset val="238"/>
      </rPr>
      <t>(odbor organizační: Kavamat 3, Metropolitní síť 83,405+1194,7929)</t>
    </r>
  </si>
  <si>
    <r>
      <t xml:space="preserve">              § 3612 z bytů v majetku města</t>
    </r>
    <r>
      <rPr>
        <sz val="9"/>
        <rFont val="Arial CE"/>
        <charset val="238"/>
      </rPr>
      <t xml:space="preserve"> (odbor bytový: nájmy 32000, zálohy na služby 18500, vyplácení přeplatků, pacht Suvorovova 441,650)</t>
    </r>
  </si>
  <si>
    <r>
      <t xml:space="preserve">              § 3122 nájem EDUCA </t>
    </r>
    <r>
      <rPr>
        <sz val="9"/>
        <rFont val="Arial CE"/>
        <charset val="238"/>
      </rPr>
      <t>(odbor bytový)</t>
    </r>
  </si>
  <si>
    <r>
      <t xml:space="preserve">              § 2321 nájem Kanalizace od SmVaK (DSO) </t>
    </r>
    <r>
      <rPr>
        <sz val="9"/>
        <rFont val="Arial CE"/>
        <charset val="238"/>
      </rPr>
      <t>- účet 2310441 Plán financování obnovy (PFO)</t>
    </r>
  </si>
  <si>
    <r>
      <t xml:space="preserve">              § 2310 nájem ostatních nemovitostí </t>
    </r>
    <r>
      <rPr>
        <sz val="9"/>
        <rFont val="Arial CE"/>
        <charset val="238"/>
      </rPr>
      <t>(odbor správy majetku)</t>
    </r>
  </si>
  <si>
    <r>
      <t xml:space="preserve">              § 2212 vyhrazené parkování formou nájemní smlouvy </t>
    </r>
    <r>
      <rPr>
        <sz val="9"/>
        <rFont val="Arial CE"/>
        <charset val="238"/>
      </rPr>
      <t>(odbor správy majetku: v režimu DPH)</t>
    </r>
  </si>
  <si>
    <t>Příjmy z pronájmů ostatních nemovitých věcí a jejich částí</t>
  </si>
  <si>
    <r>
      <t xml:space="preserve">Příjmy z pronájmu pozemků </t>
    </r>
    <r>
      <rPr>
        <sz val="9"/>
        <rFont val="Arial CE"/>
        <charset val="238"/>
      </rPr>
      <t>(odbor správy majetku: s 0% DPH 1140, s 21% DPH 850 + zápočet oplocení p. Perútka 8,78833)</t>
    </r>
  </si>
  <si>
    <r>
      <t xml:space="preserve">Odvody příspěvkových organizací </t>
    </r>
    <r>
      <rPr>
        <sz val="9"/>
        <rFont val="Arial CE"/>
        <charset val="238"/>
      </rPr>
      <t>(z fondu investic: odpisy z nemovitého majetku)</t>
    </r>
    <r>
      <rPr>
        <b/>
        <i/>
        <sz val="9"/>
        <rFont val="Arial CE"/>
        <family val="2"/>
        <charset val="238"/>
      </rPr>
      <t xml:space="preserve">       </t>
    </r>
    <r>
      <rPr>
        <sz val="9"/>
        <rFont val="Arial CE"/>
        <charset val="238"/>
      </rPr>
      <t xml:space="preserve">      </t>
    </r>
  </si>
  <si>
    <r>
      <t xml:space="preserve">Ostatní příjmy z vlastní činnosti </t>
    </r>
    <r>
      <rPr>
        <sz val="9"/>
        <rFont val="Arial CE"/>
        <family val="2"/>
        <charset val="238"/>
      </rPr>
      <t>(odbor správy majetku: věcná břemena s DPH 21%)</t>
    </r>
  </si>
  <si>
    <r>
      <t xml:space="preserve">               § 6171 činnost místní správy </t>
    </r>
    <r>
      <rPr>
        <sz val="9"/>
        <rFont val="Arial CE"/>
        <charset val="238"/>
      </rPr>
      <t>(kopírování pro veřejnost)</t>
    </r>
  </si>
  <si>
    <r>
      <t xml:space="preserve">               § 5311 bezpečnost a veřejný pořádek </t>
    </r>
    <r>
      <rPr>
        <sz val="9"/>
        <rFont val="Arial CE"/>
        <family val="2"/>
        <charset val="238"/>
      </rPr>
      <t>(Městská policie)</t>
    </r>
  </si>
  <si>
    <r>
      <t xml:space="preserve">               § 4351 </t>
    </r>
    <r>
      <rPr>
        <sz val="10"/>
        <rFont val="Arial CE"/>
        <charset val="238"/>
      </rPr>
      <t xml:space="preserve">pečovatelská služba, denní stacionář, odlehč. služba Pohoda </t>
    </r>
    <r>
      <rPr>
        <sz val="9"/>
        <rFont val="Arial CE"/>
        <family val="2"/>
        <charset val="238"/>
      </rPr>
      <t>(Prosenior NJ)</t>
    </r>
  </si>
  <si>
    <r>
      <t xml:space="preserve">               § 3632 poplatky za hrobová místa</t>
    </r>
    <r>
      <rPr>
        <sz val="9"/>
        <rFont val="Arial CE"/>
        <charset val="238"/>
      </rPr>
      <t xml:space="preserve"> (odbor správy majetku: od r. 2020 zůstává TSM)</t>
    </r>
  </si>
  <si>
    <r>
      <t xml:space="preserve">               § 3613 tržby za metropolitní síť </t>
    </r>
    <r>
      <rPr>
        <sz val="9"/>
        <rFont val="Arial CE"/>
        <charset val="238"/>
      </rPr>
      <t>(odbor organizační)</t>
    </r>
  </si>
  <si>
    <r>
      <t xml:space="preserve">               § 3612 tržby za správu SVJ</t>
    </r>
    <r>
      <rPr>
        <sz val="9"/>
        <rFont val="Arial CE"/>
        <charset val="238"/>
      </rPr>
      <t xml:space="preserve"> (odbor bytový)</t>
    </r>
  </si>
  <si>
    <r>
      <t xml:space="preserve">               § 3412 sportovní zařízení v majetku obce </t>
    </r>
    <r>
      <rPr>
        <sz val="9"/>
        <rFont val="Arial CE"/>
        <family val="2"/>
        <charset val="238"/>
      </rPr>
      <t>(zimní stadión: Hokejový klub-vstupné, nájmy)</t>
    </r>
  </si>
  <si>
    <r>
      <t xml:space="preserve">               § 3412 sportovní zařízení v majetku obce</t>
    </r>
    <r>
      <rPr>
        <sz val="9"/>
        <rFont val="Arial CE"/>
        <charset val="238"/>
      </rPr>
      <t xml:space="preserve"> (bazé</t>
    </r>
    <r>
      <rPr>
        <sz val="9"/>
        <rFont val="Arial CE"/>
        <family val="2"/>
        <charset val="238"/>
      </rPr>
      <t>n: Basketbalový klub,o.s.-vstupné, nájmy)</t>
    </r>
  </si>
  <si>
    <r>
      <t xml:space="preserve">               § 2229 Baby-Senior taxi </t>
    </r>
    <r>
      <rPr>
        <sz val="9"/>
        <rFont val="Arial CE"/>
        <charset val="238"/>
      </rPr>
      <t>(prodej průkazek)</t>
    </r>
  </si>
  <si>
    <r>
      <t xml:space="preserve">               § 2143 cestovní ruch</t>
    </r>
    <r>
      <rPr>
        <sz val="9"/>
        <rFont val="Arial CE"/>
        <charset val="238"/>
      </rPr>
      <t xml:space="preserve"> (Návštěvnické centrum NJ-město klobouků)</t>
    </r>
  </si>
  <si>
    <r>
      <t xml:space="preserve">               § 1031 pěstební činnost </t>
    </r>
    <r>
      <rPr>
        <sz val="9"/>
        <rFont val="Arial CE"/>
        <charset val="238"/>
      </rPr>
      <t>(těžba v městských lesích)</t>
    </r>
  </si>
  <si>
    <t xml:space="preserve">               § 1019 ostatní zemědělská a potravinářská činnost a rozvoj</t>
  </si>
  <si>
    <t>Příjmy z vlastní činnosti</t>
  </si>
  <si>
    <t>Třída 2 - Nedaňové příjmy</t>
  </si>
  <si>
    <r>
      <t xml:space="preserve">Daň z nemovitých věcí </t>
    </r>
    <r>
      <rPr>
        <sz val="9"/>
        <rFont val="Arial CE"/>
        <charset val="238"/>
      </rPr>
      <t xml:space="preserve">(výlučná)    </t>
    </r>
    <r>
      <rPr>
        <b/>
        <sz val="10"/>
        <rFont val="Arial CE"/>
        <family val="2"/>
        <charset val="238"/>
      </rPr>
      <t xml:space="preserve">                                                                                                              </t>
    </r>
    <r>
      <rPr>
        <b/>
        <sz val="9"/>
        <rFont val="Arial CE"/>
        <family val="2"/>
        <charset val="238"/>
      </rPr>
      <t/>
    </r>
  </si>
  <si>
    <t>Dílčí daň z technických her</t>
  </si>
  <si>
    <t>Daň z hazardních her s vvýjimkou dílčí daně z technických her</t>
  </si>
  <si>
    <r>
      <t xml:space="preserve">            odbor finanční </t>
    </r>
    <r>
      <rPr>
        <sz val="9"/>
        <rFont val="Arial CE"/>
        <charset val="238"/>
      </rPr>
      <t>(ověřování + splátkové kalendáře)</t>
    </r>
  </si>
  <si>
    <r>
      <t xml:space="preserve">            odbor životního prostředí </t>
    </r>
    <r>
      <rPr>
        <sz val="9"/>
        <rFont val="Arial CE"/>
        <charset val="238"/>
      </rPr>
      <t>(r. 2021: rybářské a lovecké lístky 80, vodní hospodářství 100, odpady 2)</t>
    </r>
  </si>
  <si>
    <r>
      <t xml:space="preserve">            odbor správních agend </t>
    </r>
    <r>
      <rPr>
        <sz val="9"/>
        <rFont val="Arial CE"/>
        <charset val="238"/>
      </rPr>
      <t>(r. 2021: matrika 170, ohlaš. 40, CzechPoint 70, OP+CD 720)</t>
    </r>
  </si>
  <si>
    <t xml:space="preserve">            odbor územního plánování a stavebního řádu </t>
  </si>
  <si>
    <r>
      <t xml:space="preserve">            obecní živnostenský úřad </t>
    </r>
    <r>
      <rPr>
        <sz val="9"/>
        <rFont val="Arial CE"/>
        <charset val="238"/>
      </rPr>
      <t>(nové a změnové výpisy z živnost.rejstříku 378, vydání výpisů z živnost.rejstříku 2,                                                                                                                                                                                                                                                                                                                                                                                                                vydání povolení k hernímu prostoru 30, osvědčení zemědělský podnikatel 10)</t>
    </r>
  </si>
  <si>
    <t>z toho: odbor dopravy</t>
  </si>
  <si>
    <t>Správní poplatky</t>
  </si>
  <si>
    <t>Ostatní odvody z vybraných činností a služeb j.n.</t>
  </si>
  <si>
    <t>Příjmy úhrad za dobývání nerostů a poplatků za geologické práce</t>
  </si>
  <si>
    <t>Příjmy za zkoušky z odborné způsobilosti od žadatelů o řidičské oprávnění</t>
  </si>
  <si>
    <t xml:space="preserve">            NC NJ (příjmy z abonentních a rezidentních karet)</t>
  </si>
  <si>
    <t>z toho: TSM NJ (příjmy z parkovacích automatů )</t>
  </si>
  <si>
    <r>
      <t xml:space="preserve">Poplatek za povolení k vjezdu do vybraných míst </t>
    </r>
    <r>
      <rPr>
        <sz val="9"/>
        <rFont val="Arial CE"/>
        <family val="2"/>
        <charset val="238"/>
      </rPr>
      <t>(od r. 2020: příjmy z parkovacích automatů v městské památkové rezervaci 30 zůstávají TSM, NCNJ: abonentní a rezidentní karty 90)</t>
    </r>
  </si>
  <si>
    <r>
      <t xml:space="preserve">            odbor životního prostředí</t>
    </r>
    <r>
      <rPr>
        <sz val="9"/>
        <rFont val="Arial CE"/>
        <charset val="238"/>
      </rPr>
      <t xml:space="preserve"> (zvláštní užívání zeleně)</t>
    </r>
  </si>
  <si>
    <r>
      <t xml:space="preserve">            odbor správy majetku (</t>
    </r>
    <r>
      <rPr>
        <sz val="9"/>
        <rFont val="Arial CE"/>
        <family val="2"/>
        <charset val="238"/>
      </rPr>
      <t>překopy+zábory+MP vyhrazené parkování)</t>
    </r>
  </si>
  <si>
    <t xml:space="preserve">z toho: odbor obecní živnostenský úřad </t>
  </si>
  <si>
    <t>Poplatek za užívání veřejného prostranství</t>
  </si>
  <si>
    <t>Poplatek ze psů</t>
  </si>
  <si>
    <t>Poplatek za provoz systému shromažďování, sběru, přepravy, třídění, využívání a odstraňování komunálních odpadů</t>
  </si>
  <si>
    <t>Poplatky za povolené vypouštění odpadních vod do vod podzemních</t>
  </si>
  <si>
    <t>Poplatky za odnětí pozemků plnění funkcí lesa</t>
  </si>
  <si>
    <t>Odvody za odnětí půdy ze zemědělského půdního fondu</t>
  </si>
  <si>
    <r>
      <t xml:space="preserve">Daň z přidané hodnoty </t>
    </r>
    <r>
      <rPr>
        <sz val="9"/>
        <rFont val="Arial CE"/>
        <charset val="238"/>
      </rPr>
      <t xml:space="preserve">(sdílená) </t>
    </r>
    <r>
      <rPr>
        <b/>
        <sz val="9"/>
        <rFont val="Arial CE"/>
        <charset val="238"/>
      </rPr>
      <t xml:space="preserve">           </t>
    </r>
    <r>
      <rPr>
        <b/>
        <sz val="10"/>
        <rFont val="Arial CE"/>
        <family val="2"/>
        <charset val="238"/>
      </rPr>
      <t xml:space="preserve">                                                                                  </t>
    </r>
    <r>
      <rPr>
        <b/>
        <sz val="9"/>
        <rFont val="Arial CE"/>
        <family val="2"/>
        <charset val="238"/>
      </rPr>
      <t xml:space="preserve"> </t>
    </r>
  </si>
  <si>
    <r>
      <t xml:space="preserve">Daň z příjmů právnických osob za obec </t>
    </r>
    <r>
      <rPr>
        <sz val="9"/>
        <rFont val="Arial CE"/>
        <family val="2"/>
        <charset val="238"/>
      </rPr>
      <t>(za město NJ) = 100%</t>
    </r>
  </si>
  <si>
    <r>
      <t xml:space="preserve">Daň z příjmů právnických osob </t>
    </r>
    <r>
      <rPr>
        <sz val="9"/>
        <rFont val="Arial CE"/>
        <charset val="238"/>
      </rPr>
      <t xml:space="preserve">(sdílená)        </t>
    </r>
    <r>
      <rPr>
        <b/>
        <sz val="10"/>
        <rFont val="Arial CE"/>
        <family val="2"/>
        <charset val="238"/>
      </rPr>
      <t xml:space="preserve">                                                                     </t>
    </r>
    <r>
      <rPr>
        <sz val="9"/>
        <rFont val="Arial CE"/>
        <family val="2"/>
        <charset val="238"/>
      </rPr>
      <t xml:space="preserve"> </t>
    </r>
  </si>
  <si>
    <r>
      <t xml:space="preserve">Daň z příjmů fyzických osob vybíraná srážkou </t>
    </r>
    <r>
      <rPr>
        <sz val="9"/>
        <rFont val="Arial CE"/>
        <charset val="238"/>
      </rPr>
      <t>(podle zvláštní sazby daně)</t>
    </r>
  </si>
  <si>
    <r>
      <t>Daň z příjmů fyzických osob placená poplatníky</t>
    </r>
    <r>
      <rPr>
        <sz val="9"/>
        <rFont val="Arial CE"/>
        <charset val="238"/>
      </rPr>
      <t xml:space="preserve"> (sdílená) </t>
    </r>
    <r>
      <rPr>
        <i/>
        <sz val="9"/>
        <rFont val="Arial CE"/>
        <charset val="238"/>
      </rPr>
      <t xml:space="preserve"> </t>
    </r>
    <r>
      <rPr>
        <sz val="9"/>
        <rFont val="Arial CE"/>
        <charset val="238"/>
      </rPr>
      <t xml:space="preserve">      </t>
    </r>
    <r>
      <rPr>
        <b/>
        <sz val="10"/>
        <rFont val="Arial CE"/>
        <family val="2"/>
        <charset val="238"/>
      </rPr>
      <t xml:space="preserve">                                                   </t>
    </r>
    <r>
      <rPr>
        <b/>
        <sz val="9"/>
        <rFont val="Arial CE"/>
        <family val="2"/>
        <charset val="238"/>
      </rPr>
      <t/>
    </r>
  </si>
  <si>
    <r>
      <t xml:space="preserve">Daň z příjmů fyzických osob placená plátci </t>
    </r>
    <r>
      <rPr>
        <sz val="9"/>
        <rFont val="Arial CE"/>
        <charset val="238"/>
      </rPr>
      <t xml:space="preserve">(motivační 1,5%)            </t>
    </r>
    <r>
      <rPr>
        <sz val="10"/>
        <rFont val="Arial CE"/>
        <family val="2"/>
        <charset val="238"/>
      </rPr>
      <t xml:space="preserve">                                       </t>
    </r>
  </si>
  <si>
    <r>
      <t xml:space="preserve">Daň z příjmů fyzických osob placená plátci </t>
    </r>
    <r>
      <rPr>
        <sz val="9"/>
        <rFont val="Arial CE"/>
        <charset val="238"/>
      </rPr>
      <t>(sdílená část)</t>
    </r>
    <r>
      <rPr>
        <b/>
        <sz val="10"/>
        <rFont val="Arial CE"/>
        <family val="2"/>
        <charset val="238"/>
      </rPr>
      <t xml:space="preserve"> </t>
    </r>
    <r>
      <rPr>
        <sz val="10"/>
        <rFont val="Arial CE"/>
        <charset val="238"/>
      </rPr>
      <t xml:space="preserve">                                                         </t>
    </r>
  </si>
  <si>
    <t xml:space="preserve">Třída 1 - Daňové příjmy                                                                                                                                                                                                                                                                                                                                                                                                                                                                                                  </t>
  </si>
  <si>
    <t xml:space="preserve">Příjmy </t>
  </si>
  <si>
    <t xml:space="preserve">v tom: 041 - Dotace cizím subjektům </t>
  </si>
  <si>
    <t>ORJ 037 - Odbor bytový</t>
  </si>
  <si>
    <t xml:space="preserve">            Odlehčovací služba Pohoda (org. 1393)</t>
  </si>
  <si>
    <t xml:space="preserve">            Denní stacionář (org. 1391)</t>
  </si>
  <si>
    <t>v tom:  Pečovatelská služba (org. 0390)</t>
  </si>
  <si>
    <r>
      <t xml:space="preserve">ORJ 029 - Prosenior NJ </t>
    </r>
    <r>
      <rPr>
        <i/>
        <sz val="12"/>
        <rFont val="Arial CE"/>
        <charset val="238"/>
      </rPr>
      <t>(org. složka)</t>
    </r>
  </si>
  <si>
    <t xml:space="preserve">           541 - Dotace, návratné finanční výpomoci a dary cizím subjektům</t>
  </si>
  <si>
    <t>v tom: 528 - Sociální věci</t>
  </si>
  <si>
    <r>
      <t>ORJ 919 - Odbor kancelář vedení města</t>
    </r>
    <r>
      <rPr>
        <i/>
        <sz val="12"/>
        <rFont val="Arial CE"/>
        <charset val="238"/>
      </rPr>
      <t xml:space="preserve">                                                                                                                                                                                                                                                                                                                                                                                                                                                                                                                           </t>
    </r>
  </si>
  <si>
    <t xml:space="preserve">ORJ 019 - Odbor organizační </t>
  </si>
  <si>
    <t>ORJ 018 - Městská policie NJ</t>
  </si>
  <si>
    <t xml:space="preserve">           441 - Dotace, návratné finanční výpomoci a dary cizím subjektům</t>
  </si>
  <si>
    <t xml:space="preserve">           416 - Kultura</t>
  </si>
  <si>
    <t>v tom: 414 - Školství, sport</t>
  </si>
  <si>
    <t xml:space="preserve">ORJ 317 - Odbor správních agend                                                                                                                                                                                                                                                                                                                                                                                                                                                                                          </t>
  </si>
  <si>
    <r>
      <t xml:space="preserve">ORJ 011 - Návštěvnické centrum NJ-město klobouků </t>
    </r>
    <r>
      <rPr>
        <i/>
        <sz val="12"/>
        <rFont val="Arial CE"/>
        <charset val="238"/>
      </rPr>
      <t>(org. složka)</t>
    </r>
  </si>
  <si>
    <t xml:space="preserve">           641 - Dotace, návratné finanční výpomoci a dary cizích subjektům </t>
  </si>
  <si>
    <t xml:space="preserve">           639 - Komunální služby</t>
  </si>
  <si>
    <t xml:space="preserve">           615 - Zdravé město a marketing</t>
  </si>
  <si>
    <t xml:space="preserve">           610 - Doprava</t>
  </si>
  <si>
    <t>v tom: 602 - Vodní hospodářství</t>
  </si>
  <si>
    <t xml:space="preserve">ORJ 6xx - Odbor rozvoje a investic                                                                                                                                                                                                                                                                                                                                                                                                                                                                                   </t>
  </si>
  <si>
    <t xml:space="preserve">           139 - Komunální služby</t>
  </si>
  <si>
    <t xml:space="preserve">           120 - Majetkoprávní záležitosti</t>
  </si>
  <si>
    <t xml:space="preserve">           110 - Doprava</t>
  </si>
  <si>
    <t>v tom: 102 - Vodní hospodářství</t>
  </si>
  <si>
    <t xml:space="preserve">ORJ 1xx - Odbor správy majetku                                                                                                                                                                                                                                                                                                                                                                                                                                                                                          </t>
  </si>
  <si>
    <t>z toho:</t>
  </si>
  <si>
    <t>Třída 6 - Kapitálové výdaje</t>
  </si>
  <si>
    <t>Třída 5 - Běžné výdaje</t>
  </si>
  <si>
    <r>
      <t>Výdaje:</t>
    </r>
    <r>
      <rPr>
        <sz val="14"/>
        <rFont val="Arial CE"/>
        <charset val="238"/>
      </rPr>
      <t xml:space="preserve"> </t>
    </r>
    <r>
      <rPr>
        <i/>
        <sz val="12"/>
        <rFont val="Arial CE"/>
        <charset val="238"/>
      </rPr>
      <t xml:space="preserve">(ORJ = organizační jednotka) </t>
    </r>
  </si>
  <si>
    <t>Třída 4 - Přijaté transfery (dotace)</t>
  </si>
  <si>
    <t>Třída 1 - Daňové příjmy</t>
  </si>
  <si>
    <t>Příjmy</t>
  </si>
  <si>
    <t>výpočty</t>
  </si>
  <si>
    <t>% plnění
k SR</t>
  </si>
  <si>
    <t>% plnění
k UR</t>
  </si>
  <si>
    <t>rok 2020</t>
  </si>
  <si>
    <r>
      <t xml:space="preserve">Schválený
rozpočet
</t>
    </r>
    <r>
      <rPr>
        <sz val="9"/>
        <rFont val="Arial CE"/>
        <family val="2"/>
        <charset val="238"/>
      </rPr>
      <t>v Kč</t>
    </r>
  </si>
  <si>
    <r>
      <t xml:space="preserve">Skutečnost za
1.pol. 2021
</t>
    </r>
    <r>
      <rPr>
        <sz val="9"/>
        <rFont val="Arial CE"/>
        <family val="2"/>
        <charset val="238"/>
      </rPr>
      <t>v Kč</t>
    </r>
  </si>
  <si>
    <t>% plnění
2021/2020</t>
  </si>
  <si>
    <t>Výsledky hospodaření města Nový Jičín 
za 1.pol. 2021</t>
  </si>
  <si>
    <r>
      <t xml:space="preserve">Ostatní záležitosti pozemních komunikací </t>
    </r>
    <r>
      <rPr>
        <sz val="9"/>
        <rFont val="Arial CE"/>
        <family val="2"/>
        <charset val="238"/>
      </rPr>
      <t>(2310410 členství v DSO Cyklostezka 2020: 50, 2021: 10)</t>
    </r>
  </si>
  <si>
    <r>
      <t xml:space="preserve">Převody z rozpočtových účtů </t>
    </r>
    <r>
      <rPr>
        <sz val="9"/>
        <rFont val="Arial CE"/>
        <family val="2"/>
        <charset val="238"/>
      </rPr>
      <t>(sociální fond 2360100/741/6330)</t>
    </r>
  </si>
  <si>
    <r>
      <t xml:space="preserve">Rozpočtová 
skladba                                                                                                                                                                                                                                                    </t>
    </r>
    <r>
      <rPr>
        <sz val="8"/>
        <rFont val="Arial CE"/>
        <charset val="238"/>
      </rPr>
      <t xml:space="preserve"> org/odd.par./pol.</t>
    </r>
  </si>
  <si>
    <r>
      <rPr>
        <b/>
        <sz val="9"/>
        <rFont val="Arial CE"/>
        <charset val="238"/>
      </rPr>
      <t>2219</t>
    </r>
    <r>
      <rPr>
        <sz val="9"/>
        <rFont val="Arial CE"/>
        <charset val="238"/>
      </rPr>
      <t>/5329</t>
    </r>
  </si>
  <si>
    <t xml:space="preserve">                     Velkoplošné opravy chodníků nad 500 000 Kč - PD - služby</t>
  </si>
  <si>
    <t xml:space="preserve">                     Velkoplošné opravy MK nad 500 000 Kč - PD - služby</t>
  </si>
  <si>
    <t xml:space="preserve">                    Zpevněné plochy a mobiliář Tyršova </t>
  </si>
  <si>
    <t xml:space="preserve">z toho:  oprava křížů a kaplí </t>
  </si>
  <si>
    <t>z toho opravy:  nepředvídané opravy havárií teplovodů Smetanovy sady a Pod Lipami</t>
  </si>
  <si>
    <t xml:space="preserve">             Rekonstrukce teplovodu na ul. Jičínská 212 a 221 v úseku 25 m</t>
  </si>
  <si>
    <r>
      <t xml:space="preserve">Upravený
rozpočet
</t>
    </r>
    <r>
      <rPr>
        <sz val="9"/>
        <rFont val="Arial CE"/>
        <family val="2"/>
        <charset val="238"/>
      </rPr>
      <t>v Kč</t>
    </r>
  </si>
  <si>
    <t>Město Nový Jičín</t>
  </si>
  <si>
    <t>Závěrečný propočet výsledků hospodaření</t>
  </si>
  <si>
    <t xml:space="preserve">dle výkazu 040 </t>
  </si>
  <si>
    <t>období:</t>
  </si>
  <si>
    <t>skutečnost</t>
  </si>
  <si>
    <t>UR</t>
  </si>
  <si>
    <t>po konsolidaci</t>
  </si>
  <si>
    <t>ř. 4200</t>
  </si>
  <si>
    <t xml:space="preserve"> +  převod soc. fond</t>
  </si>
  <si>
    <t>ř. 4281</t>
  </si>
  <si>
    <t xml:space="preserve">  +  třída 8 financování</t>
  </si>
  <si>
    <t>ř. 8000</t>
  </si>
  <si>
    <t>Zdroje celkem</t>
  </si>
  <si>
    <t>ř. 4430</t>
  </si>
  <si>
    <t>z toho</t>
  </si>
  <si>
    <t>tř. 5</t>
  </si>
  <si>
    <t>ř.4430-4220+4281=Výcelk-tř.6</t>
  </si>
  <si>
    <t>tř. 6</t>
  </si>
  <si>
    <t>ř. 4220</t>
  </si>
  <si>
    <t xml:space="preserve">celkem </t>
  </si>
  <si>
    <t>Třída 4 - včetně převodů</t>
  </si>
  <si>
    <t>ř. 4040</t>
  </si>
  <si>
    <t>ř. 4130</t>
  </si>
  <si>
    <t>ř. 4140</t>
  </si>
  <si>
    <t>ř. 4150</t>
  </si>
  <si>
    <t>převody celkem</t>
  </si>
  <si>
    <t>(kontrola ř.4250)</t>
  </si>
  <si>
    <t>Třída 4 - bez převodů</t>
  </si>
  <si>
    <t>Třída 4 - do tabulek</t>
  </si>
  <si>
    <t>Vyhotovila: Holíková 22.7.2018</t>
  </si>
  <si>
    <t>rozpočet</t>
  </si>
  <si>
    <t>Třída 1</t>
  </si>
  <si>
    <t>ř. 4010</t>
  </si>
  <si>
    <t>Třída 2</t>
  </si>
  <si>
    <t>ř. 4020</t>
  </si>
  <si>
    <t>Třída 3</t>
  </si>
  <si>
    <t>ř. 4030</t>
  </si>
  <si>
    <t>Třída 4</t>
  </si>
  <si>
    <t>(tab) viz výše</t>
  </si>
  <si>
    <t>Třída 8</t>
  </si>
  <si>
    <t>1xx</t>
  </si>
  <si>
    <t>ORJ</t>
  </si>
  <si>
    <t>6xx</t>
  </si>
  <si>
    <t>.009</t>
  </si>
  <si>
    <t>.011</t>
  </si>
  <si>
    <t>4xx</t>
  </si>
  <si>
    <t>.018</t>
  </si>
  <si>
    <t>.019</t>
  </si>
  <si>
    <t>5xx</t>
  </si>
  <si>
    <t>.029</t>
  </si>
  <si>
    <t>.035</t>
  </si>
  <si>
    <t>.037</t>
  </si>
  <si>
    <t>.04x</t>
  </si>
  <si>
    <t>Zdroje celkem - Výdaje celkem</t>
  </si>
  <si>
    <t>musí vyjít nula !</t>
  </si>
  <si>
    <t>Kapitola 741</t>
  </si>
  <si>
    <t>P+V</t>
  </si>
  <si>
    <t>celkem</t>
  </si>
  <si>
    <t>převody</t>
  </si>
  <si>
    <t>§ 6330 53xx</t>
  </si>
  <si>
    <t>Kapitola 741 výdaje - čistá do tabulek</t>
  </si>
  <si>
    <t>1.pol.2021</t>
  </si>
  <si>
    <t>0386/2212/516x</t>
  </si>
  <si>
    <r>
      <t xml:space="preserve">             </t>
    </r>
    <r>
      <rPr>
        <sz val="10"/>
        <rFont val="Arial CE"/>
        <charset val="238"/>
      </rPr>
      <t>služby -  PD k opravám, revize, poplatky, pasport místních komunikací</t>
    </r>
  </si>
  <si>
    <t xml:space="preserve">            majetkoprávní - ostatní - dohody, nájemné, znal.posudky, kolky, správní poplatky</t>
  </si>
  <si>
    <t>0092/3639/5xxx</t>
  </si>
  <si>
    <t>0513/3341/5xxx</t>
  </si>
  <si>
    <t xml:space="preserve">            opravy a udržování, poplatky</t>
  </si>
  <si>
    <t xml:space="preserve">             Dětská hřiště - materiál, opravy, údržba, ostatní služby - město</t>
  </si>
  <si>
    <t>0382/3421/5xxx</t>
  </si>
  <si>
    <t>0382/3613/5xxx</t>
  </si>
  <si>
    <t xml:space="preserve">             nákup materiálu, DDHM, ostatních služeb, nátěry lamp, košů, laviček v MPR, opravy a údržba</t>
  </si>
  <si>
    <t>0382/3631/51xx</t>
  </si>
  <si>
    <t xml:space="preserve">             nákup služeb, opravy a údržba VO</t>
  </si>
  <si>
    <t xml:space="preserve">              v tom: nepředvídané opravy</t>
  </si>
  <si>
    <t xml:space="preserve">              MMR IROP SR NIV-Modernizací výuky k rozvoji přírodovědné gramotnosti-ZŠ K68 (ÚZ 17015)</t>
  </si>
  <si>
    <t xml:space="preserve">              MMR IROP EU NIV-Modernizací výuky k rozvoji přírodovědné gramotnosti-ZŠ K68 (ÚZ 17016)</t>
  </si>
  <si>
    <t xml:space="preserve">              MMR IROP SR IV-Modernizací výuky k rozvoji přírodovědné gramotnosti-ZŠ K68 (ÚZ 17968)</t>
  </si>
  <si>
    <t xml:space="preserve">              MMR IROP EU IV-Modernizací výuky k rozvoji přírodovědné gramotnosti-ZŠ K68 (ÚZ 17969)</t>
  </si>
  <si>
    <t xml:space="preserve">              MŠMT-Rovný přístup ke kval.předš.prim.a sekund.vzdělávání-Šablony III-MŠ Trojlístek SR/EU (ÚZ 33063)</t>
  </si>
  <si>
    <t>z toho § 3111 MŠ vratky příspěvků 2020 na energie (org.305+307)</t>
  </si>
  <si>
    <t xml:space="preserve">           § 3113 ZŠ vratky příspěvků 2020 na energie (org.321+322+323+325)</t>
  </si>
  <si>
    <t xml:space="preserve">           § 3233 SVČ Fokus vratky příspěvků 2020 na energie</t>
  </si>
  <si>
    <t xml:space="preserve">           § 3311 Beskydské divadlo vratky příspěvků 2020 na energie</t>
  </si>
  <si>
    <t xml:space="preserve">           § 3392 MěKS vratky příspěvků 2020 na energie</t>
  </si>
  <si>
    <r>
      <t>Ostatní výdaje z finančního vypořádání</t>
    </r>
    <r>
      <rPr>
        <sz val="9"/>
        <rFont val="Arial CE"/>
        <charset val="238"/>
      </rPr>
      <t xml:space="preserve"> (dopl.energií 2020 - org. 0309)</t>
    </r>
  </si>
  <si>
    <t xml:space="preserve">            vratka části nevyčerpané neinv.dotace 2020 výkon soc.práce mimo OSPOD úz13015</t>
  </si>
  <si>
    <t xml:space="preserve">           § 3412 Basketbalový klub z.s.-vratky příspěvků 2020 energie a provoz</t>
  </si>
  <si>
    <t xml:space="preserve">              MMR IROP SR NIV-Energetické úspory kotelna DPS U Jičínky NJ (ÚZ 17015)</t>
  </si>
  <si>
    <t xml:space="preserve">              MMR IROP EU NIV-Energetické úspory kotelna DPS U Jičínky NJ (ÚZ 17016)</t>
  </si>
  <si>
    <t xml:space="preserve">              MMR IROP SR IV-Energetické úspory kotelna DPS U Jičínky NJ (ÚZ 17968)</t>
  </si>
  <si>
    <t xml:space="preserve">              MMR IROP EU IV-Energetické úspory kotelna DPS U Jičínky NJ (ÚZ 17969)</t>
  </si>
  <si>
    <t>5458/2219/6121</t>
  </si>
  <si>
    <t xml:space="preserve">                    Úprava zpevněné plochy podél komunikace I/57 Revoluční</t>
  </si>
  <si>
    <t xml:space="preserve">             Rekonstrukce kotelny Trlicova</t>
  </si>
  <si>
    <t xml:space="preserve">             Chodník ZD Starojicko-ul. Na Drážkách</t>
  </si>
  <si>
    <t>5449/2219/6121</t>
  </si>
  <si>
    <t xml:space="preserve">              MMR IROP EU IV-Chodník Na Drážkách, NJ-Loučka (ÚZ 17969)</t>
  </si>
  <si>
    <t xml:space="preserve">              Příspěvek na investice TSM (elektroinstalace-dílna oprav, montáž 4 ks sekčních vrat, rok 2021 ) </t>
  </si>
  <si>
    <t xml:space="preserve">              Příspěvek na TSM  výměna osvětlení budova TS 100.000 Kč, výměna VO v areálu 386.000 Kč) - </t>
  </si>
  <si>
    <t xml:space="preserve">            vratka části nevyčerpané neinv.dotace 2020 Cyklostezka NJ-Hostašovice úz719</t>
  </si>
  <si>
    <t xml:space="preserve">             Bytový dům Trlicova 59 - PD revitalizace bytového domu</t>
  </si>
  <si>
    <t xml:space="preserve">             Výkup bytu Jungmannova 1</t>
  </si>
  <si>
    <t xml:space="preserve">              MŠMT-Rovný přístup ke kval.předš.prim.a sekund.vzdělávání-Šablony III-ZŠ Tyrš SR/EU (ÚZ 33063)</t>
  </si>
  <si>
    <t>5443/2219/6121</t>
  </si>
  <si>
    <t>5445/2219/6121</t>
  </si>
  <si>
    <t>5447/2219/6121</t>
  </si>
  <si>
    <t>5450/2219/6121</t>
  </si>
  <si>
    <t>5446/2219/6121</t>
  </si>
  <si>
    <t xml:space="preserve">              MPSV-OP Zaměstnanost-Efektivní veřejná správa-Město NJ (ÚZ 13013) SR/EU</t>
  </si>
  <si>
    <r>
      <t xml:space="preserve">Ostatní příjmy z fin.vypořádání předch.let od jiných veřej.rozpočtů </t>
    </r>
    <r>
      <rPr>
        <sz val="10"/>
        <rFont val="Arial CE"/>
        <charset val="238"/>
      </rPr>
      <t>doplatek dotace 2020-volby do Senátu PČR a zast.krajů</t>
    </r>
  </si>
  <si>
    <t xml:space="preserve">             § 1037  (Podpora včelařství 2020 - příspěvek od ČSV)</t>
  </si>
  <si>
    <t xml:space="preserve">              Podpora technických atraktivit v NJ (ÚZ 691)</t>
  </si>
  <si>
    <t xml:space="preserve">                   VO Straník u č.p.32</t>
  </si>
  <si>
    <t xml:space="preserve">              na úhradu mim odměn zam soc služeb  při COVID (ÚZ 13351)</t>
  </si>
  <si>
    <t xml:space="preserve">                           oprava střechy tržnice</t>
  </si>
  <si>
    <t xml:space="preserve">              Kryté stání - rekonstrukce vnitřních a vnějších prostor </t>
  </si>
  <si>
    <t>0517/2219/5331</t>
  </si>
  <si>
    <t xml:space="preserve">             příspěvek TSM na mim odpis při vyřazení stávajícího parkovacího systému</t>
  </si>
  <si>
    <t>031 - Podpory v oblasti životního prostředí</t>
  </si>
  <si>
    <t>4375/2321/6371</t>
  </si>
  <si>
    <t>6375/3634/6371</t>
  </si>
  <si>
    <t>Podpora vybudování malýxh domovních čistíren odpadních vod ve městě NJ</t>
  </si>
  <si>
    <t>Podpora realizace ekologického vytápění v části Kojetín</t>
  </si>
  <si>
    <t xml:space="preserve">              Na podporu mim fin ohodnocení soc pracovníků ORP Covid (ÚZ 13018)</t>
  </si>
  <si>
    <t xml:space="preserve">              Mze-výchova lesních porostů do 40 let věku (ÚZ 29014)</t>
  </si>
  <si>
    <t xml:space="preserve">              MŠMT-Podpora okresních a krajských kol soutěží a přehlídek v zájm vzdělávání (ÚZ 33166)</t>
  </si>
  <si>
    <t xml:space="preserve">           § 3113 ZŠ vratky dotace 2020 - Šablony III (org. 0323)</t>
  </si>
  <si>
    <t xml:space="preserve">            vratka části nevyčerpané neinv.dotace 2020 OP VVV - Šablony III - ZŠ K68 </t>
  </si>
  <si>
    <t xml:space="preserve">             Modernizace kotelny Trlicova (org.5438 pol.6122)</t>
  </si>
  <si>
    <t>Komunální služby a územní rozvoj j.n. - přísp. TSM provoz-odměny Covid</t>
  </si>
  <si>
    <t>kap 741 celá</t>
  </si>
  <si>
    <t>minus převody § 6330</t>
  </si>
  <si>
    <t>teď už jinak výběr</t>
  </si>
  <si>
    <t xml:space="preserve">   VPS-asistence pro sčítací komisaře</t>
  </si>
  <si>
    <t xml:space="preserve">   VPS-kompenzační bonus v souvislosti s kriz.opatřeními spojenými s výskytem koronaviru (úz 98037)</t>
  </si>
  <si>
    <t xml:space="preserve">             na poskytování podpory soc.služeb dle zákona o soc.službách ORJ 541, org.1119</t>
  </si>
  <si>
    <t xml:space="preserve">           § 3419 vratky veř.výpomoci 2020 - sport (org.1131,1132,1134, 1141, 1180)</t>
  </si>
  <si>
    <t xml:space="preserve">           § 3429 vratky veř.výpomoci 2020 - sport (org. 1141)</t>
  </si>
  <si>
    <t xml:space="preserve">           § 3111 vratky veř.výpomoci 2020 - individuální žádosti kultura+sport (org.1180)</t>
  </si>
  <si>
    <t xml:space="preserve">           § 3113 vratky veř.výpomoci 2020 - individuální žádosti kultura+sport (org.1180)</t>
  </si>
  <si>
    <t>Zrušený odvod z výherních hracích přístrojů</t>
  </si>
  <si>
    <t xml:space="preserve">           § 3900 ostatní přijaté vratky a podobné příjmy</t>
  </si>
  <si>
    <t xml:space="preserve">             § 4351 přijaté nekapitálové příspěvky a náhrady</t>
  </si>
  <si>
    <t>Neinvestiční přijaté transfery ze státních fondů</t>
  </si>
  <si>
    <t xml:space="preserve">             § 3613 smluvní pokuta nebytové prostory (odbor bytový)</t>
  </si>
  <si>
    <t xml:space="preserve">             § 3639 smluvní pokuta (rozvoj města a strategické plánování org 1388)</t>
  </si>
  <si>
    <r>
      <t xml:space="preserve">             § 6171 pokuty </t>
    </r>
    <r>
      <rPr>
        <sz val="9"/>
        <rFont val="Arial CE"/>
        <family val="2"/>
        <charset val="238"/>
      </rPr>
      <t>(odbor organizační)</t>
    </r>
  </si>
  <si>
    <t xml:space="preserve">           § 3312 vratky veř.výpomoci 2020 - kultura B (org.1121)</t>
  </si>
  <si>
    <r>
      <t xml:space="preserve">             § 6171 činnost místní správy</t>
    </r>
    <r>
      <rPr>
        <sz val="9"/>
        <rFont val="Arial CE"/>
        <family val="2"/>
        <charset val="238"/>
      </rPr>
      <t xml:space="preserve"> (odbor organizační-náhrady škod, dobropisy z min.let)</t>
    </r>
  </si>
  <si>
    <t xml:space="preserve">             § 4399 ostatní záležitostli soc.věcí a politiky zaměstnanosti</t>
  </si>
  <si>
    <t xml:space="preserve">            nebytový dům Hoblíkova 13 -unimo buňky</t>
  </si>
  <si>
    <r>
      <t xml:space="preserve">Ostatní neinv.přijaté transfery od rozpočtů územ.úrovně - </t>
    </r>
    <r>
      <rPr>
        <sz val="9"/>
        <rFont val="Arial CE"/>
        <charset val="238"/>
      </rPr>
      <t>DSO Sompo 2016-vratka člen.přísp.-likvidace DSO</t>
    </r>
  </si>
  <si>
    <t xml:space="preserve">              SFŽP -IV-dotace pro JSDH Straník</t>
  </si>
  <si>
    <t xml:space="preserve">              Zborovská 11 (revitalizace bytového domu) - dle rozhodnutí o poskytnutí dotace</t>
  </si>
  <si>
    <t xml:space="preserve">              Na Lani 212 (revitalizace bytového domu) -  dle rozhodnutí o poskytnutí dotace</t>
  </si>
  <si>
    <t xml:space="preserve">             § 2212 smluvní pokuta Kámenbau sro - parkoviště Dlouhá II.et (odbor správy majetku)</t>
  </si>
  <si>
    <t>5429/2321/6121</t>
  </si>
  <si>
    <t>5428/2212/6121</t>
  </si>
  <si>
    <t>5440/2212/6121</t>
  </si>
  <si>
    <t>5442/2212/6121</t>
  </si>
  <si>
    <t>5444/2219/6121</t>
  </si>
  <si>
    <t>5448/2219/6121</t>
  </si>
  <si>
    <t>5452/2219/6121</t>
  </si>
  <si>
    <t>5451/2219/6121</t>
  </si>
  <si>
    <t>5455/2221/6121</t>
  </si>
  <si>
    <t>5456/3412/6121</t>
  </si>
  <si>
    <t>5457/3412/6121</t>
  </si>
  <si>
    <t>6390/3631/6121</t>
  </si>
  <si>
    <r>
      <t xml:space="preserve">                               - příspěvek na investice </t>
    </r>
    <r>
      <rPr>
        <sz val="9"/>
        <rFont val="Arial CE"/>
        <charset val="238"/>
      </rPr>
      <t xml:space="preserve">(PD rekonstr. elektroinstalace MŠ Máchova, myčka) </t>
    </r>
    <r>
      <rPr>
        <sz val="10"/>
        <rFont val="Arial CE"/>
        <family val="2"/>
        <charset val="238"/>
      </rPr>
      <t>zapojení FI 50</t>
    </r>
  </si>
  <si>
    <r>
      <t xml:space="preserve">                               - příspěvek na údržbu </t>
    </r>
    <r>
      <rPr>
        <sz val="9"/>
        <rFont val="Arial CE"/>
        <family val="2"/>
        <charset val="238"/>
      </rPr>
      <t>(malování a nátěry, oprava plotu, výměna podlah.krytin, PD sanace sušárny a prádelny MŠ Vančurova, zajištění dešť.mřížky okapů u MŠ Jubilejní, oprava výtahu při zapojení FR a FI 170</t>
    </r>
  </si>
  <si>
    <t xml:space="preserve">            kauce - pozemky IS Za Školou</t>
  </si>
  <si>
    <r>
      <t xml:space="preserve">správa SVJ - </t>
    </r>
    <r>
      <rPr>
        <b/>
        <sz val="10"/>
        <rFont val="Arial CE"/>
        <charset val="238"/>
      </rPr>
      <t>org. 1518</t>
    </r>
  </si>
  <si>
    <r>
      <t xml:space="preserve">Záležitosti soc. věcí a politiky nezaměstn. j.n. </t>
    </r>
    <r>
      <rPr>
        <sz val="9"/>
        <rFont val="Arial CE"/>
        <charset val="238"/>
      </rPr>
      <t xml:space="preserve">(nákup tiskopisů receptů a žádanek na omamné látky, průkazy BST, vč.provozní zálohy Kč 25.000) </t>
    </r>
  </si>
  <si>
    <t xml:space="preserve">             Bytový dům K Archivu 2, NJ - PD + realizace dle PD (2021-2022) vč. dozorů (úvěr)</t>
  </si>
  <si>
    <t xml:space="preserve">Příspěvek na TSM  výměna osvětlení budova TS 100.000 Kč, výměna VO v areálu 386.000 Kč) - </t>
  </si>
  <si>
    <t xml:space="preserve">                                     oprava střechy tržnice</t>
  </si>
  <si>
    <t xml:space="preserve">            mylné výdaje</t>
  </si>
  <si>
    <r>
      <t xml:space="preserve">Odvádění odpadních vod </t>
    </r>
    <r>
      <rPr>
        <sz val="9"/>
        <rFont val="Arial CE"/>
        <charset val="238"/>
      </rPr>
      <t>(2020: splátky úvěru 605.212,92 Kč (na pol. 8901-ZBÚ), úrok z úvěru 12.860,75 Kč, poměrná část 25% na provoz DSO dle mandátní smlouvy 242,5,                                                                                                                                                                                                                                                                              2021: splátky úvěru 605.212,92 Kč, úrok z úvěru 6.808,62 Kč, poměrná část 25% na provoz DSO dle mandátní smlouvy 242,5-DPH)</t>
    </r>
  </si>
  <si>
    <r>
      <rPr>
        <b/>
        <sz val="9"/>
        <rFont val="Arial CE"/>
        <charset val="238"/>
      </rPr>
      <t>2321</t>
    </r>
    <r>
      <rPr>
        <sz val="9"/>
        <rFont val="Arial CE"/>
        <charset val="238"/>
      </rPr>
      <t xml:space="preserve">/5329                                                                                                                                                                                                                                                                                                                                                                                                                                                                                                                         </t>
    </r>
    <r>
      <rPr>
        <b/>
        <sz val="9"/>
        <rFont val="Arial CE"/>
        <charset val="238"/>
      </rPr>
      <t>2321</t>
    </r>
    <r>
      <rPr>
        <sz val="9"/>
        <rFont val="Arial CE"/>
        <charset val="238"/>
      </rPr>
      <t>/5169</t>
    </r>
  </si>
  <si>
    <t xml:space="preserve">             byty - poštovní služby - vyúčtování přeplatků 2020 (bude proúčtováno s odborem organizačním)</t>
  </si>
  <si>
    <t xml:space="preserve">            služby + revize org. 5518 Kulturní a společenský dům</t>
  </si>
  <si>
    <t>v tom: 031 - Podpory v oblasti životního prostředí</t>
  </si>
  <si>
    <r>
      <t xml:space="preserve">          -  příspěvek na investice (</t>
    </r>
    <r>
      <rPr>
        <sz val="9"/>
        <rFont val="Arial CE"/>
        <family val="2"/>
        <charset val="238"/>
      </rPr>
      <t>auto)</t>
    </r>
  </si>
  <si>
    <r>
      <t xml:space="preserve">             příspěvek na investice TSM pro rok 2021 </t>
    </r>
    <r>
      <rPr>
        <sz val="10"/>
        <rFont val="Arial CE"/>
        <charset val="238"/>
      </rPr>
      <t>(nakladač, demolice skladu, revitalizace středista veřejné zeleně, demolice regulačních stanic)</t>
    </r>
    <r>
      <rPr>
        <sz val="8"/>
        <rFont val="Arial CE"/>
        <charset val="238"/>
      </rPr>
      <t xml:space="preserve"> </t>
    </r>
  </si>
  <si>
    <t xml:space="preserve">                    Jarní škola NSZM - nájmy místností</t>
  </si>
  <si>
    <t>Výsledky hospodaření města Nový Jičín 
za rok 2021</t>
  </si>
  <si>
    <r>
      <t xml:space="preserve">Skutečnost za
rok 2021
</t>
    </r>
    <r>
      <rPr>
        <sz val="9"/>
        <rFont val="Arial CE"/>
        <family val="2"/>
        <charset val="238"/>
      </rPr>
      <t>v Kč</t>
    </r>
  </si>
  <si>
    <t>rok 2021</t>
  </si>
  <si>
    <t>Poskytnutí peněžitých darů obcím Lužice, Mikulčice, Hrušky, Týnec, Tvrdonice, městysu Moravská Nová Ves  a městu Hodonín-živelná pohroma-tornádo</t>
  </si>
  <si>
    <t xml:space="preserve">             Společná stezka pro chodce a cyklisty ul. Rybníčky v NJ (ÚZ 720)</t>
  </si>
  <si>
    <t xml:space="preserve"> </t>
  </si>
  <si>
    <t xml:space="preserve">             Regenerace panelového sídliště Nerudova (ÚZ 611)</t>
  </si>
  <si>
    <t xml:space="preserve">                  nákup víceúčelového komunálného stroje pro údržbu veř.zeleně (TSM)</t>
  </si>
  <si>
    <t xml:space="preserve">             Drobné opravy poškození, očištění soch a restaurování křížů, Kaple v Janáčkových sadech-úprava po fixaci maleb, oprava hradební zdi (ve dvoře Hotelu Praha)</t>
  </si>
  <si>
    <t>0517/3639/6351</t>
  </si>
  <si>
    <r>
      <t xml:space="preserve">z toho: investice - zápočet oplocení p. Perútka </t>
    </r>
    <r>
      <rPr>
        <sz val="9"/>
        <rFont val="Arial CE"/>
        <charset val="238"/>
      </rPr>
      <t>(účet 2310440)</t>
    </r>
  </si>
  <si>
    <t xml:space="preserve">                           dřevěné prodejní stánky (TSM)</t>
  </si>
  <si>
    <t xml:space="preserve">             § 4351 přijaté nekapitálové příspěvky a náhrady - ProSenior</t>
  </si>
  <si>
    <t xml:space="preserve">              MŠMT-Rovný přístup ke kval.předš.prim.a sek.vzdělávání-Šablony III-MŠ Trojlístek SR/EU (ÚZ 33063)</t>
  </si>
  <si>
    <t xml:space="preserve">              MŠMT-Rovný přístup ke kval.předš.prim.a sek.vzdělávání-Šablony III-ZŠ+MŠ Jub SR/EU (ÚZ 33063)</t>
  </si>
  <si>
    <t xml:space="preserve">           § 3113 ZŠ vratky dotace 2020 - obědy dětem ohroženým chudobou (org. 0322)</t>
  </si>
  <si>
    <r>
      <t>Ostatní výdaje z finančního vypořádání</t>
    </r>
    <r>
      <rPr>
        <sz val="9"/>
        <rFont val="Arial CE"/>
        <charset val="238"/>
      </rPr>
      <t xml:space="preserve"> (vratka dotace-obědy 2020- 0322)</t>
    </r>
  </si>
  <si>
    <t xml:space="preserve">             věcné dary/nákup materiálu (státní příspěvek na výkon OSPOD) ÚZ 13011, org. 1385</t>
  </si>
  <si>
    <t xml:space="preserve">           § 3113 ZŠ vratky dotace 2020 - obědy dětem ohroženým chudobou (org. 0321)</t>
  </si>
  <si>
    <t xml:space="preserve">                vratka části nevyčerp.dotace-obědy dětem 2020- 0322, úz 13014</t>
  </si>
  <si>
    <t xml:space="preserve">                vratka části nevyčerp.dotace-obědy dětem 2020- 0321, úz 13014</t>
  </si>
  <si>
    <t xml:space="preserve">                vratka části nevyčerp.dotace-obědy dětem 2020- 0323, úz 13014</t>
  </si>
  <si>
    <t xml:space="preserve">           § 3113 ZŠ vratky dotace 2020 - obědy dětem ohroženým chudobou (org. 0323)</t>
  </si>
  <si>
    <t xml:space="preserve">              MK-obnova nem kutur památky-vily Ferdinanda Czeicznera č.p.1151 NJ (ÚZ 34002)</t>
  </si>
  <si>
    <t>0382/3613/6121</t>
  </si>
  <si>
    <t xml:space="preserve">             investice: realizace nového altánu na Skalkách</t>
  </si>
  <si>
    <t xml:space="preserve">              nákup materiálu, DDHM, ostatních služeb, nátěry lamp, košů, laviček v MPR, opravy a údržba</t>
  </si>
  <si>
    <t xml:space="preserve">             investice:parkovací automaty - obnova (TSM)</t>
  </si>
  <si>
    <t xml:space="preserve">                          - montáž ITN v městských bytech</t>
  </si>
  <si>
    <t xml:space="preserve">             § 5311 městská policie</t>
  </si>
  <si>
    <r>
      <t xml:space="preserve">             za veřejnoprávní smlouvy s ostatními obcemi </t>
    </r>
    <r>
      <rPr>
        <sz val="9"/>
        <rFont val="Arial CE"/>
        <charset val="238"/>
      </rPr>
      <t>(</t>
    </r>
    <r>
      <rPr>
        <sz val="10"/>
        <rFont val="Arial CE"/>
        <charset val="238"/>
      </rPr>
      <t>plán financování obnovy</t>
    </r>
    <r>
      <rPr>
        <sz val="9"/>
        <rFont val="Arial CE"/>
        <charset val="238"/>
      </rPr>
      <t>) 2310441</t>
    </r>
  </si>
  <si>
    <t xml:space="preserve">                návrh změn pro další rozvoj MHD - Kodis</t>
  </si>
  <si>
    <t>0382/2212/6122</t>
  </si>
  <si>
    <t xml:space="preserve">                  PD pro připojení 2 parkovacích automatů Tyršova a Štefánikova</t>
  </si>
  <si>
    <t xml:space="preserve">             - nákup DHDM</t>
  </si>
  <si>
    <t xml:space="preserve">   VPS-úhrada výdajů souvis.s konáním voleb do Parlamentu ČR (úz 98071)</t>
  </si>
  <si>
    <t xml:space="preserve">              MMR IROP SR NIV-Moderní vyučování ve 21.stol. - ZŠ+MŠ Jub (ÚZ 17015)</t>
  </si>
  <si>
    <t xml:space="preserve">              MMR IROP EU NIV-Moderní vyučování ve 21.stol. - ZŠ+MŠ Jub (ÚZ 17016)</t>
  </si>
  <si>
    <t xml:space="preserve">              MMR IROP SR IV-Moderní vyučování ve 21.stol. - ZŠ+MŠ Jub (ÚZ 17968)</t>
  </si>
  <si>
    <t xml:space="preserve">              MMR IROP EU IV-Moderní vyučování ve 21.stol. - ZŠ+MŠ Jub (ÚZ 17969)</t>
  </si>
  <si>
    <r>
      <t>Příjmy z prodeje ost.hmot.dld.maj</t>
    </r>
    <r>
      <rPr>
        <sz val="10"/>
        <rFont val="Arial CE"/>
        <charset val="238"/>
      </rPr>
      <t>-ČEZdistr-prodej technologie trafostanice DTS NJ 5206 p.č. 2080 NJ-DP</t>
    </r>
  </si>
  <si>
    <t xml:space="preserve">              poskytování bezplatné stravy pro děti ze znevýh rodin (ÚZ 13014) ZŠ+MŠ Jub, ZŠ K66, ZŠ K68</t>
  </si>
  <si>
    <t xml:space="preserve">           § 3113 ZŠ vratky dotace 2020 - Šablony II (org. 0322)</t>
  </si>
  <si>
    <t xml:space="preserve">            vratka části nevyčerpané neinv.dotace 2020 OP VVV - Šablony III - ZŠ K68 úz 33063</t>
  </si>
  <si>
    <t xml:space="preserve">              na úhradu mim odměn strážníků MP- COVID (ÚZ 14036)</t>
  </si>
  <si>
    <t xml:space="preserve">                  dohoda o vypořádání nákladů na realizaci stavby mezi CTP Moravia North sro, Central Trade Park a NJ</t>
  </si>
  <si>
    <t xml:space="preserve">              MK-program regenerace MPR a MPZ (ÚZ 34054) </t>
  </si>
  <si>
    <t xml:space="preserve">           § 3113 ZŠ vratky dotace 2020 - Šablony II (org. 0325)</t>
  </si>
  <si>
    <t xml:space="preserve">            vratka části nevyčerpané neinv.dotace 2020 OP VVV - Šablony II - ZŠ K66 úz 33063</t>
  </si>
  <si>
    <t xml:space="preserve">            vratka části nevyčerpané neinv.dotace 2020 OP VVV - Šablony III - ZŠ Tyrš úz 33063</t>
  </si>
  <si>
    <t xml:space="preserve">              MMR IROP SR NIV-Energetické úspory kotelna Trlicova NJ (ÚZ 17015)</t>
  </si>
  <si>
    <t xml:space="preserve">              MMR IROP EU NIV-Energetické úspory kotelna Trlicova NJ (ÚZ 17016)</t>
  </si>
  <si>
    <t xml:space="preserve">              MMR IROP SR IV-Energetické úspory kotelna Trlicova NJ (ÚZ 17968)</t>
  </si>
  <si>
    <t xml:space="preserve">              MMR IROP EU IV-Energetické úspory kotelna Trlicova NJ (ÚZ 17969)</t>
  </si>
  <si>
    <t xml:space="preserve">              SFIF-SR-vybavení JSDH NJ-Straník  (ÚZ 89017)</t>
  </si>
  <si>
    <t xml:space="preserve">              SFIF-EU-vybavení JSDH NJ-Straník  (ÚZ 89018)</t>
  </si>
  <si>
    <t xml:space="preserve">              SFIF-SR-vybavení JSDH NJ-Straník  (ÚZ 89517)</t>
  </si>
  <si>
    <t xml:space="preserve">              SFIF-EU-vybavení JSDH NJ-Straník  (ÚZ 89518)</t>
  </si>
  <si>
    <r>
      <t xml:space="preserve">Ostatní odvody příspěvkových organizací </t>
    </r>
    <r>
      <rPr>
        <sz val="9"/>
        <rFont val="Arial CE"/>
        <charset val="238"/>
      </rPr>
      <t>(výtěžku exekuce za zaměstnance)</t>
    </r>
    <r>
      <rPr>
        <b/>
        <i/>
        <sz val="9"/>
        <rFont val="Arial CE"/>
        <family val="2"/>
        <charset val="238"/>
      </rPr>
      <t xml:space="preserve">       </t>
    </r>
    <r>
      <rPr>
        <sz val="9"/>
        <rFont val="Arial CE"/>
        <charset val="238"/>
      </rPr>
      <t xml:space="preserve">      </t>
    </r>
  </si>
  <si>
    <t xml:space="preserve">          - nákup DHDM</t>
  </si>
  <si>
    <t xml:space="preserve">              MMR IROP SR NIV-Modernizované učebny fyziky, chemie a zem. - ZŠ K66 (ÚZ 17015)</t>
  </si>
  <si>
    <t xml:space="preserve">              MMR IROP EU NIV-Modernizované učebny fyziky, chemie a zem. - ZŠ K66 (ÚZ 17016)</t>
  </si>
  <si>
    <t xml:space="preserve">              MMR IROP SR IV-Modernizované učebny fyziky, chemie a zem. - ZŠ K66 (ÚZ 17968)</t>
  </si>
  <si>
    <t xml:space="preserve">              MMR IROP EU IV-Modernizované učebny fyziky, chemie a zem. - ZŠ K66 (ÚZ 179696)</t>
  </si>
  <si>
    <t xml:space="preserve">              MV-na úhradu výdajů JSDH (ÚZ 14004)</t>
  </si>
  <si>
    <t xml:space="preserve">            revize, poplatky, PD k opravám, srážková voda</t>
  </si>
  <si>
    <r>
      <t xml:space="preserve">             </t>
    </r>
    <r>
      <rPr>
        <b/>
        <sz val="10"/>
        <rFont val="Arial"/>
        <family val="2"/>
        <charset val="238"/>
      </rPr>
      <t>služby</t>
    </r>
    <r>
      <rPr>
        <sz val="10"/>
        <rFont val="Arial"/>
        <family val="2"/>
        <charset val="238"/>
      </rPr>
      <t xml:space="preserve"> org. 0518 + 7518 (projektové dokumentace na opravy, úklidy, revize, výtahy, hasící technika,odečty,poruch.služba,fekálie,deratizace,čištění kanalizace,komíny, SBI - revize EPS EZS,úroky úvěru...)</t>
    </r>
  </si>
  <si>
    <t xml:space="preserve">              SFŽP -IV- nákup vozidel na alternativní pohon pro město NJ - dopl. 2020 (ÚZ 90992)</t>
  </si>
  <si>
    <t xml:space="preserve">              SFŽP - nákup vozidel na alternativní pohon pro město NJ - dopl. 2020 (ÚZ 90992)</t>
  </si>
  <si>
    <t xml:space="preserve">             § 2219 smluvní pokuta (odbor správy majetku)</t>
  </si>
  <si>
    <t xml:space="preserve">             § 3639 smluvní pokuta (rozvoj města a strategické plánování org 1388, OSM-ORJ 120,139)</t>
  </si>
  <si>
    <t xml:space="preserve">             § 6171 odbor organizační </t>
  </si>
  <si>
    <t xml:space="preserve">              MŽP-progr.péče o krajinu 2021-ošetření památných stromů</t>
  </si>
  <si>
    <t xml:space="preserve">              Mze-zmírnění dopadů kůrovcové kalamity v nestátních lesích 2020</t>
  </si>
  <si>
    <t>Zrušený odvod z loterií a podobných her</t>
  </si>
  <si>
    <t xml:space="preserve">               § 1019 ostatní zeměděl.a potravinářská činnost</t>
  </si>
  <si>
    <t xml:space="preserve">              SZIF- IV-SR-Program na rozvoj venkova-proj.Oprava kamenného divadla Skalky (ÚZ 89517)</t>
  </si>
  <si>
    <t xml:space="preserve">              SZIF- IV-EU-Program na rozvoj venkova-proj.Oprava kamenného divadla Skalky (ÚZ 89518)</t>
  </si>
  <si>
    <t>Ostatní příjmy z prodeje dld maj</t>
  </si>
  <si>
    <t xml:space="preserve">             § 3329 ost.záležitosti ochrany památek</t>
  </si>
  <si>
    <t xml:space="preserve">             § 3419 sankční platby od jiných subjektů</t>
  </si>
  <si>
    <t xml:space="preserve">             § 3421 ostatní nedaňové příjmy (OSM)</t>
  </si>
  <si>
    <t xml:space="preserve">             § 3612 smluvní pokuta bytové prostory (odbor bytový)</t>
  </si>
  <si>
    <r>
      <t xml:space="preserve">             § 3635 náklady řízení </t>
    </r>
    <r>
      <rPr>
        <sz val="9"/>
        <rFont val="Arial CE"/>
        <charset val="238"/>
      </rPr>
      <t>(odbor ÚPSŘ)</t>
    </r>
  </si>
  <si>
    <t xml:space="preserve">           § 3900 vratky veř.výpomocí 2020 soc.oblast (org 1111)</t>
  </si>
  <si>
    <t xml:space="preserve">           § 4349 vratky veř.výpomocí 2020 soc.oblast (org 1111)</t>
  </si>
  <si>
    <t xml:space="preserve">           § 4350 vratky veř.výpomocí 2020 soc.oblast (org 1114)</t>
  </si>
  <si>
    <t xml:space="preserve">           § 4354 vratky veř.výpomocí 2020 soc.oblast (org 1113)</t>
  </si>
  <si>
    <t xml:space="preserve">           § 4374 vratky veř.výpomocí 2020 soc.oblast (org 1113)</t>
  </si>
  <si>
    <t xml:space="preserve">           § 4377 vratky veř.výpomocí 2020 soc.oblast (org 1113)</t>
  </si>
  <si>
    <t xml:space="preserve">             § 4379 sankční platby od jiných subjektů</t>
  </si>
  <si>
    <t xml:space="preserve">           § 4379 vratky veř.výpomocí 2020 soc.oblast (org 1111)</t>
  </si>
  <si>
    <t xml:space="preserve">             § 4349 ostatní nedaňové příjmy (odbor bytový)</t>
  </si>
  <si>
    <t xml:space="preserve">             na poskytování podpory soc.služeb dle zákona o soc.službách ORJ 029, org.1119</t>
  </si>
  <si>
    <t xml:space="preserve">             § 2223 dopravní přestupky (odbor dopravy)</t>
  </si>
  <si>
    <t xml:space="preserve">             § 2223 dopravní přestupky (OPA)</t>
  </si>
  <si>
    <r>
      <t xml:space="preserve">             § 2223 dopravní přestupky </t>
    </r>
    <r>
      <rPr>
        <sz val="9"/>
        <rFont val="Arial CE"/>
        <charset val="238"/>
      </rPr>
      <t>(OPA-radary)</t>
    </r>
  </si>
  <si>
    <t>1388/3639/6121</t>
  </si>
  <si>
    <t xml:space="preserve">                   Diskgolfové koše-realizace participativního rozpočtu</t>
  </si>
  <si>
    <t xml:space="preserve">             - kamerový systém</t>
  </si>
  <si>
    <t xml:space="preserve">             - šikmá schodišťová plošina</t>
  </si>
  <si>
    <t xml:space="preserve">             - boční mantinelová fréza</t>
  </si>
  <si>
    <t>ORJ 03x - Odbor životního prostředí</t>
  </si>
  <si>
    <t xml:space="preserve">            kauce - byty Purkyňova 40</t>
  </si>
  <si>
    <t xml:space="preserve">           § 3113 ZŠ vratky dotace 2020 - Šablony II (org. 0323)</t>
  </si>
  <si>
    <t xml:space="preserve">              Mze-zmírnění dopadů kůrovcové kalamity v nestátních lesích 2020 ÚZ 29030)</t>
  </si>
  <si>
    <t xml:space="preserve">              MŽP-progr.péče o krajinu 2021-ošetření památných stromů (ÚZ 15091) </t>
  </si>
  <si>
    <t xml:space="preserve">            vratka části nevyčerpané neinv.dotace 2020 výkon soc.práce mimo OSPOD úz 13015</t>
  </si>
  <si>
    <t xml:space="preserve">            vratka části nevyčerpané neinv.dotace 2020 Cyklostezka NJ-Hostašovice úz 719</t>
  </si>
  <si>
    <t>výpočet</t>
  </si>
  <si>
    <r>
      <t xml:space="preserve">Neinvestiční přijaté transfery ze státního rozpočtu v rámci souhrnného dotačního vztahu </t>
    </r>
    <r>
      <rPr>
        <sz val="10"/>
        <rFont val="Arial CE"/>
        <family val="2"/>
        <charset val="238"/>
      </rPr>
      <t>(2020: příspěvek na výkon státní správy, z toho základní působnost 958935,0949 + matriční působnost 709659,9826 + příspěvek za narozené 520950 + příspěvek za sňatek 433320 + příspěvek za úmrtí 542800 + příspěvek za určení otcovství 39919 + stavební působnost 4236063,649 + pověřený obecní úřad 7723640,937 + rozšířená působnost 23616817,65 + obč.průkazy (5454 ks) + veřejné opatrovnictví 1363000 (47 opatr.) + 1530786 územní plánování + 236555 řidičské průkazy (2057 ks) + zaokrouhleno    (2021: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</si>
</sst>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00"/>
    <numFmt numFmtId="166" formatCode="d/m/yyyy;@"/>
  </numFmts>
  <fonts count="72" x14ac:knownFonts="1">
    <font>
      <sz val="10"/>
      <name val="Arial CE"/>
      <charset val="238"/>
    </font>
    <font>
      <sz val="10"/>
      <name val="Arial CE"/>
      <charset val="238"/>
    </font>
    <font>
      <sz val="10"/>
      <name val="Arial CE"/>
      <family val="2"/>
      <charset val="238"/>
    </font>
    <font>
      <b/>
      <sz val="10"/>
      <name val="Arial CE"/>
      <family val="2"/>
      <charset val="238"/>
    </font>
    <font>
      <sz val="10"/>
      <name val="Arial"/>
      <family val="2"/>
      <charset val="238"/>
    </font>
    <font>
      <b/>
      <sz val="14"/>
      <name val="Arial CE"/>
      <family val="2"/>
      <charset val="238"/>
    </font>
    <font>
      <b/>
      <sz val="18"/>
      <name val="Arial CE"/>
      <family val="2"/>
      <charset val="238"/>
    </font>
    <font>
      <sz val="9"/>
      <name val="Arial CE"/>
      <charset val="238"/>
    </font>
    <font>
      <b/>
      <sz val="12"/>
      <name val="Arial CE"/>
      <family val="2"/>
      <charset val="238"/>
    </font>
    <font>
      <b/>
      <sz val="10"/>
      <name val="Arial CE"/>
      <charset val="238"/>
    </font>
    <font>
      <b/>
      <sz val="16"/>
      <name val="Arial CE"/>
      <charset val="238"/>
    </font>
    <font>
      <b/>
      <sz val="9"/>
      <name val="Arial CE"/>
      <charset val="238"/>
    </font>
    <font>
      <sz val="9"/>
      <name val="Arial CE"/>
      <family val="2"/>
      <charset val="238"/>
    </font>
    <font>
      <b/>
      <sz val="10"/>
      <name val="Arial"/>
      <family val="2"/>
      <charset val="238"/>
    </font>
    <font>
      <b/>
      <sz val="12"/>
      <name val="Arial CE"/>
      <charset val="238"/>
    </font>
    <font>
      <sz val="9"/>
      <name val="Arial"/>
      <family val="2"/>
      <charset val="238"/>
    </font>
    <font>
      <sz val="11"/>
      <color indexed="8"/>
      <name val="Calibri"/>
      <family val="2"/>
      <charset val="238"/>
    </font>
    <font>
      <sz val="11"/>
      <name val="Calibri"/>
      <family val="2"/>
      <charset val="238"/>
      <scheme val="minor"/>
    </font>
    <font>
      <i/>
      <sz val="10"/>
      <name val="Arial CE"/>
      <charset val="238"/>
    </font>
    <font>
      <b/>
      <i/>
      <sz val="10"/>
      <name val="Arial"/>
      <family val="2"/>
      <charset val="238"/>
    </font>
    <font>
      <i/>
      <sz val="10"/>
      <name val="Arial"/>
      <family val="2"/>
      <charset val="238"/>
    </font>
    <font>
      <i/>
      <sz val="11"/>
      <name val="Calibri"/>
      <family val="2"/>
      <charset val="238"/>
      <scheme val="minor"/>
    </font>
    <font>
      <b/>
      <sz val="10"/>
      <color rgb="FFFF0000"/>
      <name val="Arial"/>
      <family val="2"/>
      <charset val="238"/>
    </font>
    <font>
      <sz val="10"/>
      <color rgb="FFFF0000"/>
      <name val="Arial"/>
      <family val="2"/>
      <charset val="238"/>
    </font>
    <font>
      <b/>
      <i/>
      <u/>
      <sz val="10"/>
      <name val="Arial"/>
      <family val="2"/>
      <charset val="238"/>
    </font>
    <font>
      <sz val="8"/>
      <name val="Arial"/>
      <family val="2"/>
      <charset val="238"/>
    </font>
    <font>
      <b/>
      <sz val="16"/>
      <name val="Arial CE"/>
      <family val="2"/>
      <charset val="238"/>
    </font>
    <font>
      <b/>
      <sz val="10"/>
      <name val="Arial CE"/>
    </font>
    <font>
      <sz val="8"/>
      <name val="Arial CE"/>
      <charset val="238"/>
    </font>
    <font>
      <b/>
      <sz val="14"/>
      <name val="Arial CE"/>
      <charset val="238"/>
    </font>
    <font>
      <u/>
      <sz val="9"/>
      <name val="Arial CE"/>
      <charset val="238"/>
    </font>
    <font>
      <b/>
      <sz val="9"/>
      <name val="Arial CE"/>
      <family val="2"/>
      <charset val="238"/>
    </font>
    <font>
      <b/>
      <i/>
      <sz val="10"/>
      <name val="Arial CE"/>
      <family val="2"/>
      <charset val="238"/>
    </font>
    <font>
      <b/>
      <i/>
      <sz val="10"/>
      <name val="Arial CE"/>
      <charset val="238"/>
    </font>
    <font>
      <sz val="10"/>
      <color rgb="FF00B0F0"/>
      <name val="Arial CE"/>
      <family val="2"/>
      <charset val="238"/>
    </font>
    <font>
      <sz val="10"/>
      <color rgb="FF0070C0"/>
      <name val="Arial CE"/>
      <family val="2"/>
      <charset val="238"/>
    </font>
    <font>
      <sz val="8"/>
      <name val="Arial CE"/>
    </font>
    <font>
      <b/>
      <sz val="12"/>
      <name val="Arial CE"/>
    </font>
    <font>
      <sz val="9"/>
      <name val="Arial CE"/>
    </font>
    <font>
      <sz val="10"/>
      <name val="Arial CE"/>
    </font>
    <font>
      <b/>
      <sz val="16"/>
      <name val="Arial CE"/>
    </font>
    <font>
      <sz val="8"/>
      <name val="Arial CE"/>
      <family val="2"/>
      <charset val="238"/>
    </font>
    <font>
      <b/>
      <sz val="12"/>
      <color theme="1"/>
      <name val="Arial CE"/>
      <charset val="238"/>
    </font>
    <font>
      <sz val="10"/>
      <color theme="1"/>
      <name val="Arial CE"/>
      <charset val="238"/>
    </font>
    <font>
      <sz val="16"/>
      <name val="Arial CE"/>
      <family val="2"/>
      <charset val="238"/>
    </font>
    <font>
      <b/>
      <sz val="20"/>
      <name val="Arial CE"/>
      <family val="2"/>
      <charset val="238"/>
    </font>
    <font>
      <sz val="20"/>
      <name val="Arial CE"/>
      <charset val="238"/>
    </font>
    <font>
      <b/>
      <i/>
      <sz val="9"/>
      <name val="Arial CE"/>
      <family val="2"/>
      <charset val="238"/>
    </font>
    <font>
      <sz val="10"/>
      <color rgb="FF000000"/>
      <name val="Arial"/>
      <family val="2"/>
      <charset val="238"/>
    </font>
    <font>
      <i/>
      <sz val="9"/>
      <name val="Arial CE"/>
      <charset val="238"/>
    </font>
    <font>
      <sz val="14"/>
      <name val="Arial CE"/>
      <family val="2"/>
      <charset val="238"/>
    </font>
    <font>
      <sz val="12"/>
      <name val="Arial CE"/>
      <family val="2"/>
      <charset val="238"/>
    </font>
    <font>
      <b/>
      <i/>
      <sz val="14"/>
      <name val="Arial CE"/>
      <charset val="238"/>
    </font>
    <font>
      <b/>
      <i/>
      <sz val="12"/>
      <name val="Arial CE"/>
      <family val="2"/>
      <charset val="238"/>
    </font>
    <font>
      <b/>
      <i/>
      <sz val="12"/>
      <name val="Arial CE"/>
      <charset val="238"/>
    </font>
    <font>
      <b/>
      <i/>
      <sz val="14"/>
      <name val="Arial CE"/>
      <family val="2"/>
      <charset val="238"/>
    </font>
    <font>
      <i/>
      <sz val="12"/>
      <name val="Arial CE"/>
      <family val="2"/>
      <charset val="238"/>
    </font>
    <font>
      <sz val="12"/>
      <name val="Arial CE"/>
      <charset val="238"/>
    </font>
    <font>
      <i/>
      <sz val="12"/>
      <name val="Arial CE"/>
      <charset val="238"/>
    </font>
    <font>
      <sz val="14"/>
      <name val="Arial CE"/>
      <charset val="238"/>
    </font>
    <font>
      <sz val="18"/>
      <name val="Arial CE"/>
      <family val="2"/>
      <charset val="238"/>
    </font>
    <font>
      <b/>
      <sz val="9"/>
      <color indexed="81"/>
      <name val="Tahoma"/>
      <family val="2"/>
      <charset val="238"/>
    </font>
    <font>
      <sz val="9"/>
      <color indexed="81"/>
      <name val="Tahoma"/>
      <family val="2"/>
      <charset val="238"/>
    </font>
    <font>
      <sz val="11"/>
      <name val="Arial"/>
      <family val="2"/>
      <charset val="238"/>
    </font>
    <font>
      <sz val="16"/>
      <name val="Arial CE"/>
      <charset val="238"/>
    </font>
    <font>
      <sz val="10"/>
      <color indexed="10"/>
      <name val="Arial CE"/>
      <family val="2"/>
      <charset val="238"/>
    </font>
    <font>
      <sz val="11"/>
      <name val="Arial CE"/>
      <charset val="238"/>
    </font>
    <font>
      <b/>
      <sz val="11"/>
      <name val="Arial CE"/>
      <charset val="238"/>
    </font>
    <font>
      <sz val="11"/>
      <name val="Arial CE"/>
      <family val="2"/>
      <charset val="238"/>
    </font>
    <font>
      <sz val="9"/>
      <color indexed="81"/>
      <name val="Tahoma"/>
      <charset val="1"/>
    </font>
    <font>
      <b/>
      <sz val="9"/>
      <color indexed="81"/>
      <name val="Tahoma"/>
      <charset val="1"/>
    </font>
    <font>
      <b/>
      <sz val="13"/>
      <name val="Arial CE"/>
      <family val="2"/>
      <charset val="238"/>
    </font>
  </fonts>
  <fills count="11">
    <fill>
      <patternFill patternType="none"/>
    </fill>
    <fill>
      <patternFill patternType="gray125"/>
    </fill>
    <fill>
      <patternFill patternType="solid">
        <fgColor rgb="FFFFFFCC"/>
      </patternFill>
    </fill>
    <fill>
      <patternFill patternType="solid">
        <fgColor theme="0"/>
        <bgColor indexed="64"/>
      </patternFill>
    </fill>
    <fill>
      <patternFill patternType="solid">
        <fgColor indexed="9"/>
        <bgColor indexed="26"/>
      </patternFill>
    </fill>
    <fill>
      <patternFill patternType="solid">
        <fgColor indexed="9"/>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2"/>
        <bgColor indexed="64"/>
      </patternFill>
    </fill>
    <fill>
      <patternFill patternType="solid">
        <fgColor rgb="FFFFFF00"/>
        <bgColor indexed="64"/>
      </patternFill>
    </fill>
    <fill>
      <patternFill patternType="solid">
        <fgColor indexed="43"/>
        <bgColor indexed="64"/>
      </patternFill>
    </fill>
  </fills>
  <borders count="51">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style="medium">
        <color indexed="64"/>
      </left>
      <right/>
      <top style="hair">
        <color indexed="64"/>
      </top>
      <bottom style="hair">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style="hair">
        <color indexed="64"/>
      </top>
      <bottom style="hair">
        <color indexed="64"/>
      </bottom>
      <diagonal/>
    </border>
    <border>
      <left/>
      <right style="medium">
        <color indexed="64"/>
      </right>
      <top/>
      <bottom/>
      <diagonal/>
    </border>
    <border>
      <left/>
      <right style="medium">
        <color indexed="64"/>
      </right>
      <top style="hair">
        <color indexed="64"/>
      </top>
      <bottom style="hair">
        <color indexed="64"/>
      </bottom>
      <diagonal/>
    </border>
    <border>
      <left/>
      <right style="medium">
        <color indexed="64"/>
      </right>
      <top/>
      <bottom style="hair">
        <color indexed="64"/>
      </bottom>
      <diagonal/>
    </border>
    <border>
      <left/>
      <right/>
      <top/>
      <bottom style="hair">
        <color indexed="64"/>
      </bottom>
      <diagonal/>
    </border>
    <border>
      <left/>
      <right/>
      <top style="hair">
        <color indexed="64"/>
      </top>
      <bottom/>
      <diagonal/>
    </border>
    <border>
      <left style="medium">
        <color indexed="64"/>
      </left>
      <right/>
      <top style="medium">
        <color indexed="64"/>
      </top>
      <bottom style="hair">
        <color indexed="64"/>
      </bottom>
      <diagonal/>
    </border>
    <border>
      <left/>
      <right/>
      <top style="thin">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dotted">
        <color indexed="64"/>
      </top>
      <bottom/>
      <diagonal/>
    </border>
    <border>
      <left style="thin">
        <color indexed="64"/>
      </left>
      <right/>
      <top style="hair">
        <color indexed="64"/>
      </top>
      <bottom style="thin">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0" fontId="1" fillId="2" borderId="1" applyNumberFormat="0" applyFont="0" applyAlignment="0" applyProtection="0"/>
    <xf numFmtId="0" fontId="1" fillId="0" borderId="0"/>
    <xf numFmtId="0" fontId="16" fillId="0" borderId="0"/>
  </cellStyleXfs>
  <cellXfs count="761">
    <xf numFmtId="0" fontId="0" fillId="0" borderId="0" xfId="0"/>
    <xf numFmtId="0" fontId="2" fillId="0" borderId="0" xfId="0" applyFont="1"/>
    <xf numFmtId="0" fontId="0" fillId="0" borderId="0" xfId="0" applyFont="1"/>
    <xf numFmtId="0" fontId="3" fillId="0" borderId="0" xfId="0" applyFont="1"/>
    <xf numFmtId="0" fontId="2" fillId="0" borderId="0" xfId="0" applyFont="1" applyFill="1" applyBorder="1"/>
    <xf numFmtId="0" fontId="4" fillId="0" borderId="0" xfId="0" applyFont="1" applyAlignment="1">
      <alignment horizontal="left"/>
    </xf>
    <xf numFmtId="4" fontId="0" fillId="0" borderId="0" xfId="0" applyNumberFormat="1" applyFont="1" applyAlignment="1">
      <alignment vertical="center"/>
    </xf>
    <xf numFmtId="0" fontId="6" fillId="0" borderId="2" xfId="0" applyFont="1" applyFill="1" applyBorder="1"/>
    <xf numFmtId="0" fontId="6" fillId="0" borderId="3" xfId="0" applyFont="1" applyFill="1" applyBorder="1"/>
    <xf numFmtId="4" fontId="0" fillId="0" borderId="4" xfId="0" applyNumberFormat="1" applyFont="1" applyFill="1" applyBorder="1" applyAlignment="1">
      <alignment vertical="center"/>
    </xf>
    <xf numFmtId="4" fontId="0" fillId="0" borderId="5" xfId="0" applyNumberFormat="1" applyFont="1" applyFill="1" applyBorder="1" applyAlignment="1">
      <alignment vertical="center"/>
    </xf>
    <xf numFmtId="4" fontId="0" fillId="0" borderId="6" xfId="0" applyNumberFormat="1" applyFont="1" applyFill="1" applyBorder="1" applyAlignment="1">
      <alignment vertical="center"/>
    </xf>
    <xf numFmtId="0" fontId="2" fillId="0" borderId="7" xfId="0" applyFont="1" applyFill="1" applyBorder="1" applyAlignment="1">
      <alignment vertical="center" wrapText="1"/>
    </xf>
    <xf numFmtId="0" fontId="2" fillId="0" borderId="8" xfId="0" applyFont="1" applyFill="1" applyBorder="1" applyAlignment="1">
      <alignment vertical="center"/>
    </xf>
    <xf numFmtId="4" fontId="0" fillId="0" borderId="0" xfId="0" applyNumberFormat="1" applyFont="1"/>
    <xf numFmtId="0" fontId="2" fillId="0" borderId="5" xfId="0" applyFont="1" applyFill="1" applyBorder="1" applyAlignment="1">
      <alignment vertical="center"/>
    </xf>
    <xf numFmtId="0" fontId="2" fillId="0" borderId="9" xfId="0" applyFont="1" applyFill="1" applyBorder="1" applyAlignment="1">
      <alignment vertical="center"/>
    </xf>
    <xf numFmtId="0" fontId="8" fillId="0" borderId="0" xfId="0" applyFont="1"/>
    <xf numFmtId="4" fontId="9" fillId="0" borderId="5" xfId="0" applyNumberFormat="1" applyFont="1" applyFill="1" applyBorder="1" applyAlignment="1">
      <alignment vertical="center"/>
    </xf>
    <xf numFmtId="0" fontId="3" fillId="0" borderId="5" xfId="0" applyFont="1" applyFill="1" applyBorder="1" applyAlignment="1">
      <alignment vertical="center"/>
    </xf>
    <xf numFmtId="0" fontId="3" fillId="0" borderId="9" xfId="0" applyFont="1" applyFill="1" applyBorder="1" applyAlignment="1">
      <alignment vertical="center"/>
    </xf>
    <xf numFmtId="0" fontId="10" fillId="0" borderId="0" xfId="0" applyFont="1" applyAlignment="1"/>
    <xf numFmtId="0" fontId="0" fillId="0" borderId="5" xfId="0" applyFont="1" applyFill="1" applyBorder="1" applyAlignment="1">
      <alignment vertical="center"/>
    </xf>
    <xf numFmtId="0" fontId="0" fillId="0" borderId="9" xfId="0" applyFont="1" applyFill="1" applyBorder="1" applyAlignment="1">
      <alignment vertical="center"/>
    </xf>
    <xf numFmtId="4" fontId="9" fillId="0" borderId="4" xfId="0" applyNumberFormat="1" applyFont="1" applyFill="1" applyBorder="1" applyAlignment="1">
      <alignment vertical="center"/>
    </xf>
    <xf numFmtId="4" fontId="3" fillId="0" borderId="5" xfId="0" applyNumberFormat="1" applyFont="1" applyFill="1" applyBorder="1" applyAlignment="1">
      <alignment vertical="center"/>
    </xf>
    <xf numFmtId="0" fontId="3" fillId="0" borderId="4" xfId="0" applyFont="1" applyFill="1" applyBorder="1" applyAlignment="1">
      <alignment vertical="top" wrapText="1"/>
    </xf>
    <xf numFmtId="0" fontId="8" fillId="0" borderId="0" xfId="0" applyFont="1" applyAlignment="1">
      <alignment vertical="center"/>
    </xf>
    <xf numFmtId="0" fontId="0" fillId="0" borderId="4" xfId="0" applyFont="1" applyFill="1" applyBorder="1" applyAlignment="1">
      <alignment vertical="center"/>
    </xf>
    <xf numFmtId="0" fontId="3" fillId="0" borderId="4" xfId="0" applyFont="1" applyFill="1" applyBorder="1" applyAlignment="1">
      <alignment vertical="center"/>
    </xf>
    <xf numFmtId="0" fontId="3" fillId="0" borderId="10" xfId="0" applyFont="1" applyFill="1" applyBorder="1" applyAlignment="1">
      <alignment vertical="center"/>
    </xf>
    <xf numFmtId="0" fontId="10" fillId="0" borderId="0" xfId="0" applyFont="1" applyAlignment="1">
      <alignment wrapText="1"/>
    </xf>
    <xf numFmtId="0" fontId="3" fillId="0" borderId="4" xfId="0" applyFont="1" applyFill="1" applyBorder="1" applyAlignment="1">
      <alignment vertical="center" wrapText="1"/>
    </xf>
    <xf numFmtId="2" fontId="3" fillId="0" borderId="4" xfId="0" applyNumberFormat="1" applyFont="1" applyFill="1" applyBorder="1" applyAlignment="1">
      <alignment vertical="center" wrapText="1"/>
    </xf>
    <xf numFmtId="0" fontId="7" fillId="0" borderId="10" xfId="0" applyFont="1" applyFill="1" applyBorder="1" applyAlignment="1">
      <alignment horizontal="right" vertical="center"/>
    </xf>
    <xf numFmtId="4" fontId="10" fillId="0" borderId="2" xfId="0" applyNumberFormat="1" applyFont="1" applyFill="1" applyBorder="1"/>
    <xf numFmtId="0" fontId="10" fillId="0" borderId="2" xfId="0" applyFont="1" applyFill="1" applyBorder="1"/>
    <xf numFmtId="0" fontId="8" fillId="0" borderId="3" xfId="0" applyFont="1" applyFill="1" applyBorder="1"/>
    <xf numFmtId="0" fontId="13" fillId="0" borderId="0" xfId="0" applyFont="1" applyAlignment="1">
      <alignment vertical="center"/>
    </xf>
    <xf numFmtId="0" fontId="9" fillId="0" borderId="5" xfId="0" applyFont="1" applyFill="1" applyBorder="1" applyAlignment="1">
      <alignment vertical="center"/>
    </xf>
    <xf numFmtId="0" fontId="9" fillId="0" borderId="11" xfId="0" applyFont="1" applyFill="1" applyBorder="1" applyAlignment="1">
      <alignment vertical="center"/>
    </xf>
    <xf numFmtId="0" fontId="4" fillId="0" borderId="0" xfId="0" applyFont="1" applyAlignment="1">
      <alignment vertical="center"/>
    </xf>
    <xf numFmtId="0" fontId="9" fillId="0" borderId="12" xfId="0" applyFont="1" applyFill="1" applyBorder="1" applyAlignment="1">
      <alignment vertical="center"/>
    </xf>
    <xf numFmtId="4" fontId="14" fillId="0" borderId="2" xfId="0" applyNumberFormat="1" applyFont="1" applyFill="1" applyBorder="1" applyAlignment="1">
      <alignment vertical="center"/>
    </xf>
    <xf numFmtId="0" fontId="8" fillId="0" borderId="2" xfId="0" applyFont="1" applyFill="1" applyBorder="1"/>
    <xf numFmtId="0" fontId="2" fillId="0" borderId="3" xfId="0" applyFont="1" applyFill="1" applyBorder="1" applyAlignment="1">
      <alignment vertical="center"/>
    </xf>
    <xf numFmtId="4" fontId="0" fillId="0" borderId="13" xfId="0" applyNumberFormat="1" applyFont="1" applyFill="1" applyBorder="1" applyAlignment="1">
      <alignment vertical="center"/>
    </xf>
    <xf numFmtId="4" fontId="10" fillId="0" borderId="2" xfId="0" applyNumberFormat="1" applyFont="1" applyFill="1" applyBorder="1" applyAlignment="1">
      <alignment vertical="center"/>
    </xf>
    <xf numFmtId="4" fontId="10" fillId="0" borderId="3" xfId="0" applyNumberFormat="1" applyFont="1" applyFill="1" applyBorder="1" applyAlignment="1">
      <alignment vertical="center"/>
    </xf>
    <xf numFmtId="0" fontId="10" fillId="0" borderId="14" xfId="0" applyFont="1" applyFill="1" applyBorder="1"/>
    <xf numFmtId="4" fontId="0" fillId="0" borderId="15" xfId="0" applyNumberFormat="1" applyFont="1" applyFill="1" applyBorder="1" applyAlignment="1">
      <alignment vertical="center"/>
    </xf>
    <xf numFmtId="0" fontId="4" fillId="0" borderId="15" xfId="0" applyFont="1" applyFill="1" applyBorder="1" applyAlignment="1">
      <alignment horizontal="right" vertical="center"/>
    </xf>
    <xf numFmtId="4" fontId="4" fillId="0" borderId="5" xfId="0" applyNumberFormat="1" applyFont="1" applyFill="1" applyBorder="1" applyAlignment="1">
      <alignment vertical="center"/>
    </xf>
    <xf numFmtId="49" fontId="4" fillId="0" borderId="4" xfId="0" applyNumberFormat="1" applyFont="1" applyFill="1" applyBorder="1" applyAlignment="1">
      <alignment vertical="center"/>
    </xf>
    <xf numFmtId="0" fontId="4" fillId="0" borderId="5" xfId="0" applyFont="1" applyFill="1" applyBorder="1" applyAlignment="1">
      <alignment horizontal="right" vertical="center"/>
    </xf>
    <xf numFmtId="0" fontId="4" fillId="0" borderId="6" xfId="0" applyFont="1" applyFill="1" applyBorder="1" applyAlignment="1">
      <alignment horizontal="right" vertical="center"/>
    </xf>
    <xf numFmtId="0" fontId="4" fillId="0" borderId="4" xfId="0" applyFont="1" applyFill="1" applyBorder="1" applyAlignment="1">
      <alignment vertical="center"/>
    </xf>
    <xf numFmtId="4" fontId="13" fillId="0" borderId="5" xfId="0" applyNumberFormat="1" applyFont="1" applyFill="1" applyBorder="1" applyAlignment="1">
      <alignment vertical="center"/>
    </xf>
    <xf numFmtId="0" fontId="13" fillId="0" borderId="4" xfId="0" applyFont="1" applyFill="1" applyBorder="1" applyAlignment="1">
      <alignment vertical="center"/>
    </xf>
    <xf numFmtId="0" fontId="13" fillId="0" borderId="5" xfId="0" applyFont="1" applyFill="1" applyBorder="1" applyAlignment="1">
      <alignment horizontal="right" vertical="center"/>
    </xf>
    <xf numFmtId="49" fontId="4" fillId="0" borderId="4" xfId="2" applyNumberFormat="1" applyFont="1" applyFill="1" applyBorder="1" applyAlignment="1">
      <alignment vertical="center"/>
    </xf>
    <xf numFmtId="49" fontId="4" fillId="0" borderId="4" xfId="0" applyNumberFormat="1" applyFont="1" applyFill="1" applyBorder="1" applyAlignment="1">
      <alignment vertical="center" wrapText="1"/>
    </xf>
    <xf numFmtId="0" fontId="4" fillId="0" borderId="4" xfId="0" applyFont="1" applyFill="1" applyBorder="1" applyAlignment="1">
      <alignment vertical="center" wrapText="1"/>
    </xf>
    <xf numFmtId="4" fontId="13" fillId="0" borderId="4" xfId="0" applyNumberFormat="1" applyFont="1" applyFill="1" applyBorder="1" applyAlignment="1">
      <alignment vertical="center"/>
    </xf>
    <xf numFmtId="4" fontId="4" fillId="0" borderId="4" xfId="0" applyNumberFormat="1" applyFont="1" applyFill="1" applyBorder="1" applyAlignment="1">
      <alignment vertical="center"/>
    </xf>
    <xf numFmtId="49" fontId="4" fillId="0" borderId="4" xfId="3" applyNumberFormat="1" applyFont="1" applyFill="1" applyBorder="1" applyAlignment="1">
      <alignment vertical="center" wrapText="1"/>
    </xf>
    <xf numFmtId="49" fontId="4" fillId="0" borderId="5" xfId="3" applyNumberFormat="1" applyFont="1" applyFill="1" applyBorder="1" applyAlignment="1">
      <alignment vertical="center" wrapText="1"/>
    </xf>
    <xf numFmtId="0" fontId="4" fillId="0" borderId="5" xfId="3" applyFont="1" applyFill="1" applyBorder="1" applyAlignment="1">
      <alignment vertical="center" wrapText="1"/>
    </xf>
    <xf numFmtId="0" fontId="0" fillId="0" borderId="0" xfId="0" applyBorder="1"/>
    <xf numFmtId="0" fontId="4" fillId="0" borderId="5" xfId="0" applyFont="1" applyFill="1" applyBorder="1" applyAlignment="1">
      <alignment vertical="center"/>
    </xf>
    <xf numFmtId="0" fontId="0" fillId="0" borderId="18" xfId="0" applyBorder="1"/>
    <xf numFmtId="0" fontId="13" fillId="0" borderId="4" xfId="0" applyFont="1" applyFill="1" applyBorder="1" applyAlignment="1">
      <alignment horizontal="right" vertical="center"/>
    </xf>
    <xf numFmtId="0" fontId="4" fillId="0" borderId="4" xfId="2" applyFont="1" applyFill="1" applyBorder="1" applyAlignment="1">
      <alignment vertical="center" wrapText="1"/>
    </xf>
    <xf numFmtId="0" fontId="18" fillId="0" borderId="0" xfId="0" applyFont="1"/>
    <xf numFmtId="0" fontId="19" fillId="0" borderId="5" xfId="2" applyFont="1" applyFill="1" applyBorder="1" applyAlignment="1">
      <alignment vertical="center"/>
    </xf>
    <xf numFmtId="4" fontId="0" fillId="0" borderId="5" xfId="0" applyNumberFormat="1" applyFont="1" applyFill="1" applyBorder="1" applyAlignment="1">
      <alignment horizontal="right" vertical="center"/>
    </xf>
    <xf numFmtId="0" fontId="19" fillId="0" borderId="5" xfId="0" applyFont="1" applyFill="1" applyBorder="1" applyAlignment="1">
      <alignment horizontal="right" vertical="center"/>
    </xf>
    <xf numFmtId="0" fontId="4" fillId="0" borderId="5" xfId="2" applyFont="1" applyFill="1" applyBorder="1" applyAlignment="1">
      <alignment vertical="center" wrapText="1"/>
    </xf>
    <xf numFmtId="0" fontId="4" fillId="0" borderId="5" xfId="0" applyFont="1" applyFill="1" applyBorder="1" applyAlignment="1">
      <alignment vertical="center" wrapText="1"/>
    </xf>
    <xf numFmtId="4" fontId="20" fillId="0" borderId="5" xfId="0" applyNumberFormat="1" applyFont="1" applyFill="1" applyBorder="1" applyAlignment="1">
      <alignment vertical="center"/>
    </xf>
    <xf numFmtId="4" fontId="17" fillId="0" borderId="5" xfId="0" applyNumberFormat="1" applyFont="1" applyFill="1" applyBorder="1" applyAlignment="1">
      <alignment vertical="center"/>
    </xf>
    <xf numFmtId="49" fontId="4" fillId="0" borderId="4" xfId="2" applyNumberFormat="1" applyFont="1" applyFill="1" applyBorder="1" applyAlignment="1">
      <alignment vertical="center" wrapText="1"/>
    </xf>
    <xf numFmtId="4" fontId="20" fillId="0" borderId="4" xfId="0" applyNumberFormat="1" applyFont="1" applyFill="1" applyBorder="1" applyAlignment="1">
      <alignment vertical="center"/>
    </xf>
    <xf numFmtId="4" fontId="18" fillId="0" borderId="5" xfId="0" applyNumberFormat="1" applyFont="1" applyFill="1" applyBorder="1" applyAlignment="1">
      <alignment vertical="center"/>
    </xf>
    <xf numFmtId="0" fontId="19" fillId="0" borderId="5" xfId="0" applyFont="1" applyFill="1" applyBorder="1" applyAlignment="1">
      <alignment vertical="center"/>
    </xf>
    <xf numFmtId="0" fontId="4" fillId="0" borderId="5" xfId="2" applyFont="1" applyFill="1" applyBorder="1" applyAlignment="1">
      <alignment vertical="center"/>
    </xf>
    <xf numFmtId="0" fontId="22" fillId="0" borderId="5" xfId="0" applyFont="1" applyFill="1" applyBorder="1" applyAlignment="1">
      <alignment horizontal="right" vertical="center"/>
    </xf>
    <xf numFmtId="0" fontId="20" fillId="0" borderId="5" xfId="0" applyFont="1" applyFill="1" applyBorder="1" applyAlignment="1">
      <alignment vertical="center"/>
    </xf>
    <xf numFmtId="2" fontId="4" fillId="0" borderId="5" xfId="0" applyNumberFormat="1" applyFont="1" applyFill="1" applyBorder="1" applyAlignment="1">
      <alignment vertical="center" wrapText="1"/>
    </xf>
    <xf numFmtId="4" fontId="4" fillId="0" borderId="5" xfId="0" applyNumberFormat="1" applyFont="1" applyFill="1" applyBorder="1" applyAlignment="1">
      <alignment horizontal="right" vertical="center"/>
    </xf>
    <xf numFmtId="0" fontId="0" fillId="0" borderId="0" xfId="0" applyFont="1" applyFill="1"/>
    <xf numFmtId="0" fontId="13" fillId="0" borderId="5" xfId="0" applyFont="1" applyFill="1" applyBorder="1" applyAlignment="1">
      <alignment vertical="center"/>
    </xf>
    <xf numFmtId="0" fontId="4" fillId="0" borderId="4" xfId="0" applyFont="1" applyFill="1" applyBorder="1" applyAlignment="1">
      <alignment horizontal="right" vertical="center"/>
    </xf>
    <xf numFmtId="49" fontId="4" fillId="0" borderId="5" xfId="2" applyNumberFormat="1" applyFont="1" applyFill="1" applyBorder="1" applyAlignment="1">
      <alignment vertical="center" wrapText="1"/>
    </xf>
    <xf numFmtId="0" fontId="20" fillId="0" borderId="5" xfId="0" applyFont="1" applyFill="1" applyBorder="1" applyAlignment="1">
      <alignment horizontal="right" vertical="center"/>
    </xf>
    <xf numFmtId="4" fontId="18" fillId="0" borderId="4" xfId="0" applyNumberFormat="1" applyFont="1" applyFill="1" applyBorder="1" applyAlignment="1">
      <alignment vertical="center"/>
    </xf>
    <xf numFmtId="4" fontId="17" fillId="0" borderId="4" xfId="0" applyNumberFormat="1" applyFont="1" applyFill="1" applyBorder="1" applyAlignment="1">
      <alignment vertical="center"/>
    </xf>
    <xf numFmtId="49" fontId="4" fillId="0" borderId="5" xfId="0" applyNumberFormat="1" applyFont="1" applyFill="1" applyBorder="1" applyAlignment="1">
      <alignment vertical="center"/>
    </xf>
    <xf numFmtId="4" fontId="17" fillId="0" borderId="5" xfId="0" applyNumberFormat="1" applyFont="1" applyFill="1" applyBorder="1" applyAlignment="1">
      <alignment horizontal="right" vertical="center"/>
    </xf>
    <xf numFmtId="4" fontId="21" fillId="0" borderId="5" xfId="0" applyNumberFormat="1" applyFont="1" applyFill="1" applyBorder="1" applyAlignment="1">
      <alignment vertical="center"/>
    </xf>
    <xf numFmtId="4" fontId="4" fillId="0" borderId="4" xfId="0" applyNumberFormat="1" applyFont="1" applyFill="1" applyBorder="1"/>
    <xf numFmtId="4" fontId="17" fillId="0" borderId="4" xfId="0" applyNumberFormat="1" applyFont="1" applyFill="1" applyBorder="1" applyAlignment="1">
      <alignment horizontal="right" vertical="center"/>
    </xf>
    <xf numFmtId="49" fontId="4" fillId="0" borderId="5" xfId="0" applyNumberFormat="1" applyFont="1" applyFill="1" applyBorder="1" applyAlignment="1">
      <alignment vertical="center" wrapText="1"/>
    </xf>
    <xf numFmtId="4" fontId="4" fillId="0" borderId="5" xfId="0" applyNumberFormat="1" applyFont="1" applyFill="1" applyBorder="1"/>
    <xf numFmtId="4" fontId="0" fillId="0" borderId="5" xfId="0" applyNumberFormat="1" applyFont="1" applyFill="1" applyBorder="1"/>
    <xf numFmtId="4" fontId="0" fillId="0" borderId="4" xfId="0" applyNumberFormat="1" applyFont="1" applyFill="1" applyBorder="1"/>
    <xf numFmtId="0" fontId="0" fillId="0" borderId="0" xfId="0" applyFill="1"/>
    <xf numFmtId="0" fontId="23" fillId="0" borderId="5" xfId="0" applyFont="1" applyFill="1" applyBorder="1" applyAlignment="1">
      <alignment horizontal="right" vertical="center"/>
    </xf>
    <xf numFmtId="4" fontId="0" fillId="0" borderId="13" xfId="0" applyNumberFormat="1" applyFont="1" applyFill="1" applyBorder="1" applyAlignment="1">
      <alignment horizontal="right" vertical="center"/>
    </xf>
    <xf numFmtId="4" fontId="0" fillId="0" borderId="0" xfId="0" applyNumberFormat="1" applyFont="1" applyFill="1" applyBorder="1" applyAlignment="1">
      <alignment horizontal="right" vertical="center"/>
    </xf>
    <xf numFmtId="0" fontId="24" fillId="0" borderId="5" xfId="0" applyFont="1" applyFill="1" applyBorder="1" applyAlignment="1">
      <alignment vertical="center" wrapText="1"/>
    </xf>
    <xf numFmtId="4" fontId="9" fillId="0" borderId="22" xfId="0" applyNumberFormat="1" applyFont="1" applyFill="1" applyBorder="1" applyAlignment="1">
      <alignment vertical="center"/>
    </xf>
    <xf numFmtId="49" fontId="4" fillId="0" borderId="22" xfId="0" applyNumberFormat="1" applyFont="1" applyFill="1" applyBorder="1" applyAlignment="1">
      <alignment vertical="center" wrapText="1"/>
    </xf>
    <xf numFmtId="0" fontId="13" fillId="0" borderId="23" xfId="0" applyFont="1" applyFill="1" applyBorder="1" applyAlignment="1">
      <alignment horizontal="right" vertical="center"/>
    </xf>
    <xf numFmtId="4" fontId="26" fillId="0" borderId="2" xfId="0" applyNumberFormat="1" applyFont="1" applyFill="1" applyBorder="1" applyAlignment="1">
      <alignment vertical="center"/>
    </xf>
    <xf numFmtId="0" fontId="26" fillId="0" borderId="2" xfId="0" applyFont="1" applyFill="1" applyBorder="1" applyAlignment="1">
      <alignment vertical="center"/>
    </xf>
    <xf numFmtId="0" fontId="5" fillId="0" borderId="3" xfId="0" applyFont="1" applyFill="1" applyBorder="1" applyAlignment="1">
      <alignment horizontal="center" vertical="center"/>
    </xf>
    <xf numFmtId="4" fontId="0" fillId="0" borderId="6" xfId="0" applyNumberFormat="1" applyFont="1" applyBorder="1" applyAlignment="1">
      <alignment vertical="center"/>
    </xf>
    <xf numFmtId="0" fontId="3" fillId="3" borderId="13" xfId="0" applyFont="1" applyFill="1" applyBorder="1" applyAlignment="1">
      <alignment vertical="center"/>
    </xf>
    <xf numFmtId="0" fontId="3" fillId="0" borderId="12" xfId="0" applyFont="1" applyBorder="1" applyAlignment="1">
      <alignment vertical="center"/>
    </xf>
    <xf numFmtId="4" fontId="9" fillId="0" borderId="4" xfId="0" applyNumberFormat="1" applyFont="1" applyBorder="1" applyAlignment="1">
      <alignment vertical="center"/>
    </xf>
    <xf numFmtId="4" fontId="9" fillId="0" borderId="5" xfId="0" applyNumberFormat="1" applyFont="1" applyBorder="1" applyAlignment="1">
      <alignment vertical="center"/>
    </xf>
    <xf numFmtId="4" fontId="9" fillId="3" borderId="5" xfId="0" applyNumberFormat="1" applyFont="1" applyFill="1" applyBorder="1" applyAlignment="1">
      <alignment vertical="center"/>
    </xf>
    <xf numFmtId="0" fontId="3" fillId="3" borderId="5" xfId="0" applyFont="1" applyFill="1" applyBorder="1" applyAlignment="1">
      <alignment vertical="center"/>
    </xf>
    <xf numFmtId="0" fontId="3" fillId="0" borderId="9" xfId="0" applyFont="1" applyBorder="1" applyAlignment="1">
      <alignment vertical="center"/>
    </xf>
    <xf numFmtId="4" fontId="0" fillId="0" borderId="0" xfId="0" applyNumberFormat="1" applyFont="1" applyFill="1" applyAlignment="1">
      <alignment vertical="center"/>
    </xf>
    <xf numFmtId="4" fontId="0" fillId="0" borderId="4" xfId="0" applyNumberFormat="1" applyFont="1" applyBorder="1" applyAlignment="1">
      <alignment vertical="center"/>
    </xf>
    <xf numFmtId="4" fontId="0" fillId="3" borderId="5" xfId="0" applyNumberFormat="1" applyFont="1" applyFill="1" applyBorder="1" applyAlignment="1">
      <alignment vertical="center"/>
    </xf>
    <xf numFmtId="0" fontId="2" fillId="3" borderId="5" xfId="0" applyFont="1" applyFill="1" applyBorder="1" applyAlignment="1">
      <alignment vertical="center" wrapText="1"/>
    </xf>
    <xf numFmtId="4" fontId="0" fillId="0" borderId="12" xfId="0" applyNumberFormat="1" applyFont="1" applyBorder="1" applyAlignment="1">
      <alignment vertical="center"/>
    </xf>
    <xf numFmtId="4" fontId="0" fillId="0" borderId="5" xfId="0" applyNumberFormat="1" applyFont="1" applyBorder="1" applyAlignment="1">
      <alignment vertical="center"/>
    </xf>
    <xf numFmtId="0" fontId="0" fillId="3" borderId="5" xfId="0" applyFont="1" applyFill="1" applyBorder="1" applyAlignment="1">
      <alignment vertical="center"/>
    </xf>
    <xf numFmtId="0" fontId="2" fillId="0" borderId="9" xfId="0" applyFont="1" applyBorder="1" applyAlignment="1">
      <alignment vertical="center"/>
    </xf>
    <xf numFmtId="4" fontId="0" fillId="3" borderId="4" xfId="0" applyNumberFormat="1" applyFont="1" applyFill="1" applyBorder="1" applyAlignment="1">
      <alignment vertical="center"/>
    </xf>
    <xf numFmtId="4" fontId="9" fillId="0" borderId="6" xfId="0" applyNumberFormat="1" applyFont="1" applyBorder="1" applyAlignment="1">
      <alignment vertical="center"/>
    </xf>
    <xf numFmtId="0" fontId="3" fillId="3" borderId="5" xfId="0" applyFont="1" applyFill="1" applyBorder="1" applyAlignment="1">
      <alignment vertical="center" wrapText="1"/>
    </xf>
    <xf numFmtId="4" fontId="9" fillId="3" borderId="4" xfId="0" applyNumberFormat="1" applyFont="1" applyFill="1" applyBorder="1" applyAlignment="1">
      <alignment vertical="center"/>
    </xf>
    <xf numFmtId="0" fontId="3" fillId="3" borderId="4" xfId="0" applyFont="1" applyFill="1" applyBorder="1" applyAlignment="1">
      <alignment vertical="center"/>
    </xf>
    <xf numFmtId="0" fontId="3" fillId="0" borderId="10" xfId="0" applyFont="1" applyBorder="1" applyAlignment="1">
      <alignment vertical="center"/>
    </xf>
    <xf numFmtId="0" fontId="26" fillId="3" borderId="2" xfId="0" applyFont="1" applyFill="1" applyBorder="1"/>
    <xf numFmtId="0" fontId="8" fillId="0" borderId="3" xfId="0" applyFont="1" applyBorder="1"/>
    <xf numFmtId="0" fontId="3" fillId="3" borderId="15" xfId="0" applyFont="1" applyFill="1" applyBorder="1" applyAlignment="1">
      <alignment vertical="center"/>
    </xf>
    <xf numFmtId="0" fontId="2" fillId="3" borderId="15" xfId="0" applyFont="1" applyFill="1" applyBorder="1" applyAlignment="1">
      <alignment vertical="center"/>
    </xf>
    <xf numFmtId="0" fontId="3" fillId="0" borderId="24" xfId="0" applyFont="1" applyBorder="1" applyAlignment="1">
      <alignment vertical="center"/>
    </xf>
    <xf numFmtId="0" fontId="2" fillId="0" borderId="0" xfId="0" applyFont="1" applyAlignment="1">
      <alignment vertical="center"/>
    </xf>
    <xf numFmtId="4" fontId="0" fillId="3" borderId="5" xfId="0" applyNumberFormat="1" applyFont="1" applyFill="1" applyBorder="1" applyAlignment="1">
      <alignment horizontal="right" vertical="center"/>
    </xf>
    <xf numFmtId="0" fontId="7" fillId="3" borderId="4" xfId="0" applyFont="1" applyFill="1" applyBorder="1" applyAlignment="1">
      <alignment vertical="center" wrapText="1"/>
    </xf>
    <xf numFmtId="4" fontId="0" fillId="3" borderId="4" xfId="0" applyNumberFormat="1" applyFont="1" applyFill="1" applyBorder="1" applyAlignment="1">
      <alignment horizontal="right" vertical="center"/>
    </xf>
    <xf numFmtId="4" fontId="9" fillId="3" borderId="22" xfId="0" applyNumberFormat="1" applyFont="1" applyFill="1" applyBorder="1" applyAlignment="1">
      <alignment horizontal="right" vertical="center"/>
    </xf>
    <xf numFmtId="0" fontId="9" fillId="3" borderId="4" xfId="0" applyFont="1" applyFill="1" applyBorder="1" applyAlignment="1">
      <alignment vertical="center"/>
    </xf>
    <xf numFmtId="0" fontId="10" fillId="3" borderId="15" xfId="0" applyFont="1" applyFill="1" applyBorder="1" applyAlignment="1">
      <alignment vertical="center"/>
    </xf>
    <xf numFmtId="4" fontId="0" fillId="0" borderId="13" xfId="0" applyNumberFormat="1" applyFont="1" applyBorder="1" applyAlignment="1">
      <alignment vertical="center"/>
    </xf>
    <xf numFmtId="4" fontId="0" fillId="3" borderId="6" xfId="0" applyNumberFormat="1" applyFont="1" applyFill="1" applyBorder="1" applyAlignment="1">
      <alignment vertical="center"/>
    </xf>
    <xf numFmtId="0" fontId="2" fillId="3" borderId="7" xfId="0" applyFont="1" applyFill="1" applyBorder="1" applyAlignment="1">
      <alignment vertical="center"/>
    </xf>
    <xf numFmtId="0" fontId="2" fillId="3" borderId="6" xfId="0" applyFont="1" applyFill="1" applyBorder="1" applyAlignment="1">
      <alignment vertical="center"/>
    </xf>
    <xf numFmtId="0" fontId="2" fillId="3" borderId="5" xfId="0" applyFont="1" applyFill="1" applyBorder="1" applyAlignment="1">
      <alignment vertical="center"/>
    </xf>
    <xf numFmtId="0" fontId="3" fillId="0" borderId="11" xfId="0" applyFont="1" applyBorder="1" applyAlignment="1">
      <alignment vertical="center"/>
    </xf>
    <xf numFmtId="4" fontId="14" fillId="3" borderId="2" xfId="0" applyNumberFormat="1" applyFont="1" applyFill="1" applyBorder="1"/>
    <xf numFmtId="0" fontId="8" fillId="3" borderId="2" xfId="0" applyFont="1" applyFill="1" applyBorder="1"/>
    <xf numFmtId="0" fontId="3" fillId="0" borderId="8" xfId="0" applyFont="1" applyBorder="1" applyAlignment="1">
      <alignment vertical="center"/>
    </xf>
    <xf numFmtId="164" fontId="3" fillId="0" borderId="0" xfId="0" applyNumberFormat="1" applyFont="1"/>
    <xf numFmtId="164" fontId="3" fillId="3" borderId="5" xfId="0" applyNumberFormat="1" applyFont="1" applyFill="1" applyBorder="1" applyAlignment="1">
      <alignment vertical="center"/>
    </xf>
    <xf numFmtId="4" fontId="0" fillId="0" borderId="12" xfId="0" applyNumberFormat="1" applyFont="1" applyBorder="1"/>
    <xf numFmtId="4" fontId="14" fillId="3" borderId="2" xfId="0" applyNumberFormat="1" applyFont="1" applyFill="1" applyBorder="1" applyAlignment="1">
      <alignment shrinkToFit="1"/>
    </xf>
    <xf numFmtId="0" fontId="3" fillId="3" borderId="15" xfId="0" applyFont="1" applyFill="1" applyBorder="1"/>
    <xf numFmtId="0" fontId="3" fillId="0" borderId="24" xfId="0" applyFont="1" applyBorder="1"/>
    <xf numFmtId="0" fontId="0" fillId="3" borderId="5" xfId="0" applyFont="1" applyFill="1" applyBorder="1" applyAlignment="1">
      <alignment vertical="center" wrapText="1"/>
    </xf>
    <xf numFmtId="0" fontId="8" fillId="0" borderId="10" xfId="0" applyFont="1" applyBorder="1"/>
    <xf numFmtId="0" fontId="3" fillId="3" borderId="7" xfId="0" applyFont="1" applyFill="1" applyBorder="1"/>
    <xf numFmtId="0" fontId="3" fillId="0" borderId="8" xfId="0" applyFont="1" applyBorder="1"/>
    <xf numFmtId="4" fontId="9" fillId="0" borderId="5" xfId="0" applyNumberFormat="1" applyFont="1" applyBorder="1" applyAlignment="1">
      <alignment vertical="center" shrinkToFit="1"/>
    </xf>
    <xf numFmtId="4" fontId="0" fillId="0" borderId="0" xfId="0" applyNumberFormat="1" applyFont="1" applyAlignment="1">
      <alignment horizontal="right" vertical="center"/>
    </xf>
    <xf numFmtId="0" fontId="7" fillId="3" borderId="5" xfId="0" applyFont="1" applyFill="1" applyBorder="1" applyAlignment="1">
      <alignment vertical="center" wrapText="1"/>
    </xf>
    <xf numFmtId="0" fontId="11" fillId="3" borderId="5" xfId="0" applyFont="1" applyFill="1" applyBorder="1" applyAlignment="1">
      <alignment vertical="center" wrapText="1"/>
    </xf>
    <xf numFmtId="0" fontId="12" fillId="3" borderId="5" xfId="0" applyFont="1" applyFill="1" applyBorder="1" applyAlignment="1">
      <alignment vertical="center" wrapText="1"/>
    </xf>
    <xf numFmtId="0" fontId="3" fillId="3" borderId="4" xfId="0" applyFont="1" applyFill="1" applyBorder="1" applyAlignment="1">
      <alignment vertical="center" wrapText="1"/>
    </xf>
    <xf numFmtId="4" fontId="10" fillId="3" borderId="2" xfId="0" applyNumberFormat="1" applyFont="1" applyFill="1" applyBorder="1"/>
    <xf numFmtId="4" fontId="29" fillId="3" borderId="2" xfId="0" applyNumberFormat="1" applyFont="1" applyFill="1" applyBorder="1"/>
    <xf numFmtId="0" fontId="2" fillId="3" borderId="24" xfId="0" applyFont="1" applyFill="1" applyBorder="1" applyAlignment="1">
      <alignment vertical="center" wrapText="1"/>
    </xf>
    <xf numFmtId="0" fontId="2" fillId="3" borderId="9" xfId="0" applyFont="1" applyFill="1" applyBorder="1" applyAlignment="1">
      <alignment vertical="center" wrapText="1"/>
    </xf>
    <xf numFmtId="0" fontId="3" fillId="3" borderId="9" xfId="0" applyFont="1" applyFill="1" applyBorder="1" applyAlignment="1">
      <alignment vertical="center"/>
    </xf>
    <xf numFmtId="4" fontId="10" fillId="0" borderId="2" xfId="0" applyNumberFormat="1" applyFont="1" applyBorder="1" applyAlignment="1">
      <alignment vertical="center"/>
    </xf>
    <xf numFmtId="4" fontId="17" fillId="0" borderId="5" xfId="0" applyNumberFormat="1" applyFont="1" applyBorder="1" applyAlignment="1">
      <alignment vertical="center"/>
    </xf>
    <xf numFmtId="0" fontId="2" fillId="0" borderId="5" xfId="0" applyFont="1" applyBorder="1" applyAlignment="1">
      <alignment vertical="center" wrapText="1"/>
    </xf>
    <xf numFmtId="0" fontId="3" fillId="0" borderId="5" xfId="0" applyFont="1" applyBorder="1" applyAlignment="1">
      <alignment vertical="center"/>
    </xf>
    <xf numFmtId="0" fontId="2" fillId="0" borderId="5" xfId="0" applyFont="1" applyBorder="1" applyAlignment="1">
      <alignment vertical="center"/>
    </xf>
    <xf numFmtId="4" fontId="0" fillId="3" borderId="5" xfId="0" applyNumberFormat="1" applyFont="1" applyFill="1" applyBorder="1"/>
    <xf numFmtId="4" fontId="9" fillId="0" borderId="4" xfId="0" applyNumberFormat="1" applyFont="1" applyBorder="1" applyAlignment="1">
      <alignment vertical="center" shrinkToFit="1"/>
    </xf>
    <xf numFmtId="0" fontId="3" fillId="0" borderId="4" xfId="0" applyFont="1" applyBorder="1" applyAlignment="1">
      <alignment vertical="center" wrapText="1"/>
    </xf>
    <xf numFmtId="4" fontId="14" fillId="0" borderId="2" xfId="0" applyNumberFormat="1" applyFont="1" applyBorder="1" applyAlignment="1">
      <alignment vertical="center" shrinkToFit="1"/>
    </xf>
    <xf numFmtId="2" fontId="2" fillId="0" borderId="5" xfId="0" applyNumberFormat="1" applyFont="1" applyBorder="1" applyAlignment="1">
      <alignment vertical="center" wrapText="1"/>
    </xf>
    <xf numFmtId="49" fontId="2" fillId="0" borderId="9" xfId="0" applyNumberFormat="1" applyFont="1" applyBorder="1" applyAlignment="1">
      <alignment horizontal="right" vertical="center"/>
    </xf>
    <xf numFmtId="2" fontId="3" fillId="0" borderId="5" xfId="0" applyNumberFormat="1" applyFont="1" applyBorder="1" applyAlignment="1">
      <alignment vertical="center" wrapText="1"/>
    </xf>
    <xf numFmtId="49" fontId="3" fillId="0" borderId="9" xfId="0" applyNumberFormat="1" applyFont="1" applyBorder="1" applyAlignment="1">
      <alignment horizontal="right" vertical="center"/>
    </xf>
    <xf numFmtId="2" fontId="2" fillId="0" borderId="5" xfId="0" applyNumberFormat="1" applyFont="1" applyFill="1" applyBorder="1" applyAlignment="1">
      <alignment vertical="center" wrapText="1"/>
    </xf>
    <xf numFmtId="4" fontId="0" fillId="4" borderId="5" xfId="0" applyNumberFormat="1" applyFont="1" applyFill="1" applyBorder="1" applyAlignment="1">
      <alignment vertical="center"/>
    </xf>
    <xf numFmtId="4" fontId="2" fillId="3" borderId="5" xfId="0" applyNumberFormat="1" applyFont="1" applyFill="1" applyBorder="1" applyAlignment="1">
      <alignment vertical="center"/>
    </xf>
    <xf numFmtId="2" fontId="2" fillId="3" borderId="5" xfId="0" applyNumberFormat="1" applyFont="1" applyFill="1" applyBorder="1" applyAlignment="1">
      <alignment vertical="center" wrapText="1"/>
    </xf>
    <xf numFmtId="2" fontId="3" fillId="3" borderId="5" xfId="0" applyNumberFormat="1" applyFont="1" applyFill="1" applyBorder="1" applyAlignment="1">
      <alignment vertical="center" wrapText="1"/>
    </xf>
    <xf numFmtId="2" fontId="3" fillId="0" borderId="4" xfId="0" applyNumberFormat="1" applyFont="1" applyBorder="1" applyAlignment="1">
      <alignment vertical="center" wrapText="1"/>
    </xf>
    <xf numFmtId="49" fontId="3" fillId="0" borderId="10" xfId="0" applyNumberFormat="1" applyFont="1" applyBorder="1" applyAlignment="1">
      <alignment horizontal="right" vertical="center"/>
    </xf>
    <xf numFmtId="4" fontId="0" fillId="0" borderId="0" xfId="0" applyNumberFormat="1" applyFont="1" applyFill="1"/>
    <xf numFmtId="0" fontId="8" fillId="0" borderId="2" xfId="0" applyFont="1" applyBorder="1" applyAlignment="1">
      <alignment wrapText="1"/>
    </xf>
    <xf numFmtId="0" fontId="3" fillId="0" borderId="5" xfId="0" applyFont="1" applyBorder="1" applyAlignment="1">
      <alignment vertical="center" wrapText="1"/>
    </xf>
    <xf numFmtId="4" fontId="17" fillId="3" borderId="5" xfId="0" applyNumberFormat="1" applyFont="1" applyFill="1" applyBorder="1" applyAlignment="1">
      <alignment vertical="center"/>
    </xf>
    <xf numFmtId="4" fontId="3" fillId="3" borderId="5" xfId="0" applyNumberFormat="1" applyFont="1" applyFill="1" applyBorder="1" applyAlignment="1">
      <alignment vertical="center"/>
    </xf>
    <xf numFmtId="4" fontId="0" fillId="0" borderId="5" xfId="0" applyNumberFormat="1" applyFont="1" applyBorder="1"/>
    <xf numFmtId="4" fontId="17" fillId="4" borderId="5" xfId="0" applyNumberFormat="1" applyFont="1" applyFill="1" applyBorder="1" applyAlignment="1">
      <alignment vertical="center"/>
    </xf>
    <xf numFmtId="4" fontId="0" fillId="0" borderId="9" xfId="0" applyNumberFormat="1" applyFont="1" applyBorder="1" applyAlignment="1">
      <alignment vertical="center"/>
    </xf>
    <xf numFmtId="4" fontId="0" fillId="0" borderId="9" xfId="0" applyNumberFormat="1" applyFont="1" applyFill="1" applyBorder="1" applyAlignment="1">
      <alignment vertical="center"/>
    </xf>
    <xf numFmtId="4" fontId="0" fillId="0" borderId="25" xfId="0" applyNumberFormat="1" applyFont="1" applyFill="1" applyBorder="1" applyAlignment="1">
      <alignment vertical="center"/>
    </xf>
    <xf numFmtId="4" fontId="9" fillId="5" borderId="6" xfId="0" applyNumberFormat="1" applyFont="1" applyFill="1" applyBorder="1" applyAlignment="1">
      <alignment vertical="center"/>
    </xf>
    <xf numFmtId="0" fontId="33" fillId="0" borderId="5" xfId="0" applyFont="1" applyBorder="1" applyAlignment="1">
      <alignment vertical="center" wrapText="1"/>
    </xf>
    <xf numFmtId="0" fontId="35" fillId="0" borderId="5" xfId="0" applyFont="1" applyBorder="1" applyAlignment="1">
      <alignment vertical="center" wrapText="1"/>
    </xf>
    <xf numFmtId="0" fontId="34" fillId="0" borderId="9" xfId="0" applyFont="1" applyBorder="1" applyAlignment="1">
      <alignment vertical="center"/>
    </xf>
    <xf numFmtId="4" fontId="15" fillId="3" borderId="5" xfId="0" applyNumberFormat="1" applyFont="1" applyFill="1" applyBorder="1" applyAlignment="1">
      <alignment vertical="center"/>
    </xf>
    <xf numFmtId="0" fontId="15" fillId="0" borderId="5" xfId="0" applyFont="1" applyBorder="1" applyAlignment="1">
      <alignment vertical="center" wrapText="1"/>
    </xf>
    <xf numFmtId="4" fontId="9" fillId="3" borderId="22" xfId="0" applyNumberFormat="1" applyFont="1" applyFill="1" applyBorder="1" applyAlignment="1">
      <alignment vertical="center"/>
    </xf>
    <xf numFmtId="0" fontId="26" fillId="0" borderId="2" xfId="0" applyFont="1" applyBorder="1" applyAlignment="1">
      <alignment wrapText="1"/>
    </xf>
    <xf numFmtId="0" fontId="3" fillId="0" borderId="3" xfId="0" applyFont="1" applyBorder="1" applyAlignment="1">
      <alignment vertical="center"/>
    </xf>
    <xf numFmtId="0" fontId="3" fillId="0" borderId="0" xfId="0" applyFont="1" applyFill="1"/>
    <xf numFmtId="4" fontId="9" fillId="0" borderId="15" xfId="0" applyNumberFormat="1" applyFont="1" applyFill="1" applyBorder="1" applyAlignment="1">
      <alignment vertical="center"/>
    </xf>
    <xf numFmtId="0" fontId="3" fillId="0" borderId="13" xfId="0" applyFont="1" applyFill="1" applyBorder="1" applyAlignment="1">
      <alignment vertical="center"/>
    </xf>
    <xf numFmtId="4" fontId="9" fillId="0" borderId="9" xfId="0" applyNumberFormat="1" applyFont="1" applyFill="1" applyBorder="1" applyAlignment="1">
      <alignment vertical="center"/>
    </xf>
    <xf numFmtId="0" fontId="3" fillId="3" borderId="22" xfId="0" applyFont="1" applyFill="1" applyBorder="1" applyAlignment="1">
      <alignment vertical="center"/>
    </xf>
    <xf numFmtId="0" fontId="26" fillId="0" borderId="2" xfId="0" applyFont="1" applyFill="1" applyBorder="1"/>
    <xf numFmtId="0" fontId="8" fillId="3" borderId="2" xfId="0" applyFont="1" applyFill="1" applyBorder="1" applyAlignment="1">
      <alignment vertical="center"/>
    </xf>
    <xf numFmtId="0" fontId="9" fillId="3" borderId="15" xfId="0" applyFont="1" applyFill="1" applyBorder="1" applyAlignment="1">
      <alignment vertical="center"/>
    </xf>
    <xf numFmtId="0" fontId="3" fillId="3" borderId="24" xfId="0" applyFont="1" applyFill="1" applyBorder="1" applyAlignment="1">
      <alignment vertical="center"/>
    </xf>
    <xf numFmtId="0" fontId="9" fillId="3" borderId="5" xfId="0" applyFont="1" applyFill="1" applyBorder="1" applyAlignment="1">
      <alignment vertical="center"/>
    </xf>
    <xf numFmtId="0" fontId="8" fillId="3" borderId="3" xfId="0" applyFont="1" applyFill="1" applyBorder="1"/>
    <xf numFmtId="0" fontId="12" fillId="3" borderId="12" xfId="0" applyFont="1" applyFill="1" applyBorder="1"/>
    <xf numFmtId="0" fontId="3" fillId="3" borderId="12" xfId="0" applyFont="1" applyFill="1" applyBorder="1"/>
    <xf numFmtId="4" fontId="0" fillId="0" borderId="27" xfId="0" applyNumberFormat="1" applyFont="1" applyFill="1" applyBorder="1" applyAlignment="1">
      <alignment vertical="center"/>
    </xf>
    <xf numFmtId="0" fontId="12" fillId="3" borderId="9" xfId="0" applyFont="1" applyFill="1" applyBorder="1"/>
    <xf numFmtId="0" fontId="3" fillId="3" borderId="9" xfId="0" applyFont="1" applyFill="1" applyBorder="1"/>
    <xf numFmtId="0" fontId="9" fillId="0" borderId="0" xfId="0" applyFont="1"/>
    <xf numFmtId="0" fontId="2" fillId="3" borderId="9" xfId="0" applyFont="1" applyFill="1" applyBorder="1" applyAlignment="1">
      <alignment vertical="center"/>
    </xf>
    <xf numFmtId="4" fontId="9" fillId="0" borderId="27" xfId="0" applyNumberFormat="1" applyFont="1" applyFill="1" applyBorder="1" applyAlignment="1">
      <alignment vertical="center"/>
    </xf>
    <xf numFmtId="0" fontId="9" fillId="3" borderId="9" xfId="0" applyFont="1" applyFill="1" applyBorder="1" applyAlignment="1">
      <alignment vertical="center"/>
    </xf>
    <xf numFmtId="0" fontId="12" fillId="3" borderId="9" xfId="0" applyFont="1" applyFill="1" applyBorder="1" applyAlignment="1">
      <alignment vertical="center"/>
    </xf>
    <xf numFmtId="4" fontId="9" fillId="0" borderId="28" xfId="0" applyNumberFormat="1" applyFont="1" applyFill="1" applyBorder="1" applyAlignment="1">
      <alignment vertical="center"/>
    </xf>
    <xf numFmtId="4" fontId="10" fillId="3" borderId="2" xfId="0" applyNumberFormat="1" applyFont="1" applyFill="1" applyBorder="1" applyAlignment="1">
      <alignment vertical="center"/>
    </xf>
    <xf numFmtId="0" fontId="26" fillId="3" borderId="2" xfId="0" applyFont="1" applyFill="1" applyBorder="1" applyAlignment="1">
      <alignment vertical="center"/>
    </xf>
    <xf numFmtId="0" fontId="8" fillId="3" borderId="3" xfId="0" applyFont="1" applyFill="1" applyBorder="1" applyAlignment="1">
      <alignment vertical="center"/>
    </xf>
    <xf numFmtId="0" fontId="3" fillId="3" borderId="8" xfId="0" applyFont="1" applyFill="1" applyBorder="1"/>
    <xf numFmtId="0" fontId="3" fillId="3" borderId="0" xfId="0" applyFont="1" applyFill="1"/>
    <xf numFmtId="0" fontId="9" fillId="3" borderId="5" xfId="0" applyFont="1" applyFill="1" applyBorder="1" applyAlignment="1">
      <alignment vertical="center" wrapText="1"/>
    </xf>
    <xf numFmtId="0" fontId="3" fillId="3" borderId="10" xfId="0" applyFont="1" applyFill="1" applyBorder="1" applyAlignment="1">
      <alignment vertical="center"/>
    </xf>
    <xf numFmtId="4" fontId="0" fillId="0" borderId="11" xfId="0" applyNumberFormat="1" applyFont="1" applyFill="1" applyBorder="1" applyAlignment="1">
      <alignment vertical="center"/>
    </xf>
    <xf numFmtId="4" fontId="0" fillId="0" borderId="30" xfId="0" applyNumberFormat="1" applyFont="1" applyFill="1" applyBorder="1" applyAlignment="1">
      <alignment vertical="center"/>
    </xf>
    <xf numFmtId="0" fontId="3" fillId="3" borderId="5" xfId="0" applyFont="1" applyFill="1" applyBorder="1"/>
    <xf numFmtId="0" fontId="8" fillId="0" borderId="24" xfId="0" applyFont="1" applyBorder="1"/>
    <xf numFmtId="4" fontId="0" fillId="5" borderId="12" xfId="0" applyNumberFormat="1" applyFont="1" applyFill="1" applyBorder="1" applyAlignment="1">
      <alignment vertical="center"/>
    </xf>
    <xf numFmtId="4" fontId="9" fillId="0" borderId="9" xfId="0" applyNumberFormat="1" applyFont="1" applyBorder="1" applyAlignment="1">
      <alignment horizontal="right" vertical="center"/>
    </xf>
    <xf numFmtId="0" fontId="3" fillId="3" borderId="2" xfId="0" applyFont="1" applyFill="1" applyBorder="1" applyAlignment="1">
      <alignment vertical="center"/>
    </xf>
    <xf numFmtId="4" fontId="0" fillId="0" borderId="7" xfId="0" applyNumberFormat="1" applyBorder="1" applyAlignment="1">
      <alignment vertical="center"/>
    </xf>
    <xf numFmtId="0" fontId="0" fillId="0" borderId="7" xfId="0" applyBorder="1" applyAlignment="1">
      <alignment vertical="center"/>
    </xf>
    <xf numFmtId="0" fontId="36" fillId="0" borderId="8" xfId="0" applyFont="1" applyBorder="1" applyAlignment="1">
      <alignment vertical="center"/>
    </xf>
    <xf numFmtId="4" fontId="0" fillId="0" borderId="5" xfId="0" applyNumberFormat="1" applyBorder="1" applyAlignment="1">
      <alignment vertical="center"/>
    </xf>
    <xf numFmtId="0" fontId="0" fillId="0" borderId="5" xfId="0" applyBorder="1" applyAlignment="1">
      <alignment vertical="center"/>
    </xf>
    <xf numFmtId="0" fontId="36" fillId="0" borderId="9" xfId="0" applyFont="1" applyBorder="1" applyAlignment="1">
      <alignment vertical="center"/>
    </xf>
    <xf numFmtId="4" fontId="0" fillId="0" borderId="4" xfId="0" applyNumberFormat="1" applyBorder="1" applyAlignment="1">
      <alignment vertical="center"/>
    </xf>
    <xf numFmtId="0" fontId="0" fillId="0" borderId="4" xfId="0" applyBorder="1" applyAlignment="1">
      <alignment vertical="center"/>
    </xf>
    <xf numFmtId="0" fontId="36" fillId="0" borderId="10" xfId="0" applyFont="1" applyBorder="1" applyAlignment="1">
      <alignment vertical="center"/>
    </xf>
    <xf numFmtId="4" fontId="37" fillId="0" borderId="2" xfId="0" applyNumberFormat="1" applyFont="1" applyBorder="1" applyAlignment="1">
      <alignment vertical="center"/>
    </xf>
    <xf numFmtId="0" fontId="37" fillId="0" borderId="2" xfId="0" applyFont="1" applyBorder="1"/>
    <xf numFmtId="0" fontId="37" fillId="0" borderId="3" xfId="0" applyFont="1" applyBorder="1"/>
    <xf numFmtId="0" fontId="36" fillId="0" borderId="11" xfId="0" applyFont="1" applyBorder="1" applyAlignment="1">
      <alignment vertical="center"/>
    </xf>
    <xf numFmtId="4" fontId="27" fillId="0" borderId="5" xfId="0" applyNumberFormat="1" applyFont="1" applyBorder="1" applyAlignment="1">
      <alignment vertical="center"/>
    </xf>
    <xf numFmtId="0" fontId="27" fillId="0" borderId="5" xfId="0" applyFont="1" applyBorder="1" applyAlignment="1">
      <alignment vertical="center"/>
    </xf>
    <xf numFmtId="0" fontId="27" fillId="0" borderId="9" xfId="0" applyFont="1" applyBorder="1" applyAlignment="1">
      <alignment vertical="center"/>
    </xf>
    <xf numFmtId="4" fontId="0" fillId="0" borderId="5" xfId="0" applyNumberFormat="1" applyFill="1" applyBorder="1" applyAlignment="1">
      <alignment vertical="center"/>
    </xf>
    <xf numFmtId="4" fontId="27" fillId="0" borderId="22" xfId="0" applyNumberFormat="1" applyFont="1" applyBorder="1" applyAlignment="1">
      <alignment vertical="center"/>
    </xf>
    <xf numFmtId="0" fontId="27" fillId="0" borderId="22" xfId="0" applyFont="1" applyBorder="1" applyAlignment="1">
      <alignment vertical="center"/>
    </xf>
    <xf numFmtId="0" fontId="27" fillId="0" borderId="31" xfId="0" applyFont="1" applyBorder="1" applyAlignment="1">
      <alignment vertical="center"/>
    </xf>
    <xf numFmtId="4" fontId="37" fillId="0" borderId="2" xfId="0" applyNumberFormat="1" applyFont="1" applyBorder="1"/>
    <xf numFmtId="0" fontId="7" fillId="0" borderId="5" xfId="0" applyFont="1" applyBorder="1" applyAlignment="1">
      <alignment vertical="center" wrapText="1"/>
    </xf>
    <xf numFmtId="0" fontId="0" fillId="0" borderId="5" xfId="0" applyFill="1" applyBorder="1" applyAlignment="1">
      <alignment vertical="center"/>
    </xf>
    <xf numFmtId="0" fontId="36" fillId="0" borderId="9" xfId="0" applyFont="1" applyFill="1" applyBorder="1" applyAlignment="1">
      <alignment vertical="center"/>
    </xf>
    <xf numFmtId="4" fontId="27" fillId="0" borderId="4" xfId="0" applyNumberFormat="1" applyFont="1" applyBorder="1" applyAlignment="1">
      <alignment vertical="center"/>
    </xf>
    <xf numFmtId="0" fontId="37" fillId="0" borderId="2" xfId="0" applyFont="1" applyBorder="1" applyAlignment="1">
      <alignment vertical="center"/>
    </xf>
    <xf numFmtId="0" fontId="27" fillId="0" borderId="3" xfId="0" applyFont="1" applyBorder="1" applyAlignment="1">
      <alignment vertical="center"/>
    </xf>
    <xf numFmtId="0" fontId="40" fillId="0" borderId="2" xfId="0" applyFont="1" applyBorder="1" applyAlignment="1">
      <alignment vertical="center"/>
    </xf>
    <xf numFmtId="0" fontId="36" fillId="0" borderId="3" xfId="0" applyFont="1" applyBorder="1" applyAlignment="1">
      <alignment vertical="center"/>
    </xf>
    <xf numFmtId="4" fontId="0" fillId="0" borderId="33" xfId="0" applyNumberFormat="1" applyFont="1" applyFill="1" applyBorder="1" applyAlignment="1">
      <alignment vertical="center"/>
    </xf>
    <xf numFmtId="0" fontId="2" fillId="3" borderId="13" xfId="0" applyFont="1" applyFill="1" applyBorder="1" applyAlignment="1">
      <alignment vertical="center"/>
    </xf>
    <xf numFmtId="0" fontId="28" fillId="3" borderId="13" xfId="0" applyFont="1" applyFill="1" applyBorder="1" applyAlignment="1">
      <alignment vertical="center"/>
    </xf>
    <xf numFmtId="0" fontId="28" fillId="3" borderId="5" xfId="0" applyFont="1" applyFill="1" applyBorder="1" applyAlignment="1">
      <alignment vertical="center"/>
    </xf>
    <xf numFmtId="4" fontId="0" fillId="5" borderId="27" xfId="0" applyNumberFormat="1" applyFont="1" applyFill="1" applyBorder="1" applyAlignment="1">
      <alignment vertical="center"/>
    </xf>
    <xf numFmtId="0" fontId="28" fillId="3" borderId="4" xfId="0" applyFont="1" applyFill="1" applyBorder="1" applyAlignment="1">
      <alignment vertical="center"/>
    </xf>
    <xf numFmtId="0" fontId="2" fillId="3" borderId="4" xfId="0" applyFont="1" applyFill="1" applyBorder="1" applyAlignment="1">
      <alignment vertical="center"/>
    </xf>
    <xf numFmtId="4" fontId="0" fillId="0" borderId="27" xfId="0" applyNumberFormat="1" applyFont="1" applyBorder="1" applyAlignment="1">
      <alignment vertical="center"/>
    </xf>
    <xf numFmtId="0" fontId="41" fillId="3" borderId="5" xfId="0" applyFont="1" applyFill="1" applyBorder="1" applyAlignment="1">
      <alignment vertical="center"/>
    </xf>
    <xf numFmtId="4" fontId="0" fillId="0" borderId="5" xfId="0" applyNumberFormat="1" applyFont="1" applyBorder="1" applyAlignment="1">
      <alignment shrinkToFit="1"/>
    </xf>
    <xf numFmtId="4" fontId="0" fillId="0" borderId="5" xfId="0" applyNumberFormat="1" applyFont="1" applyBorder="1" applyAlignment="1">
      <alignment vertical="center" shrinkToFit="1"/>
    </xf>
    <xf numFmtId="4" fontId="0" fillId="0" borderId="0" xfId="0" applyNumberFormat="1" applyFont="1" applyBorder="1"/>
    <xf numFmtId="4" fontId="2" fillId="0" borderId="5" xfId="0" applyNumberFormat="1" applyFont="1" applyBorder="1" applyAlignment="1">
      <alignment vertical="center"/>
    </xf>
    <xf numFmtId="0" fontId="0" fillId="3" borderId="4" xfId="0" applyFont="1" applyFill="1" applyBorder="1" applyAlignment="1">
      <alignment horizontal="left" vertical="center"/>
    </xf>
    <xf numFmtId="0" fontId="0" fillId="3" borderId="5" xfId="0" applyFont="1" applyFill="1" applyBorder="1" applyAlignment="1">
      <alignment horizontal="left" vertical="center"/>
    </xf>
    <xf numFmtId="4" fontId="42" fillId="3" borderId="2" xfId="0" applyNumberFormat="1" applyFont="1" applyFill="1" applyBorder="1"/>
    <xf numFmtId="0" fontId="28" fillId="3" borderId="6" xfId="0" applyFont="1" applyFill="1" applyBorder="1" applyAlignment="1">
      <alignment vertical="center"/>
    </xf>
    <xf numFmtId="4" fontId="2" fillId="0" borderId="6" xfId="0" applyNumberFormat="1" applyFont="1" applyBorder="1" applyAlignment="1">
      <alignment vertical="center"/>
    </xf>
    <xf numFmtId="4" fontId="43" fillId="0" borderId="4" xfId="0" applyNumberFormat="1" applyFont="1" applyBorder="1" applyAlignment="1">
      <alignment vertical="center"/>
    </xf>
    <xf numFmtId="0" fontId="7" fillId="3" borderId="5" xfId="0" applyFont="1" applyFill="1" applyBorder="1" applyAlignment="1">
      <alignment vertical="center"/>
    </xf>
    <xf numFmtId="0" fontId="2" fillId="3" borderId="24" xfId="0" applyFont="1" applyFill="1" applyBorder="1" applyAlignment="1">
      <alignment vertical="center"/>
    </xf>
    <xf numFmtId="0" fontId="28" fillId="3" borderId="15" xfId="0" applyFont="1" applyFill="1" applyBorder="1" applyAlignment="1">
      <alignment vertical="center"/>
    </xf>
    <xf numFmtId="0" fontId="0" fillId="3" borderId="9" xfId="0" applyFont="1" applyFill="1" applyBorder="1" applyAlignment="1">
      <alignment vertical="center"/>
    </xf>
    <xf numFmtId="0" fontId="3" fillId="3" borderId="12" xfId="0" applyFont="1" applyFill="1" applyBorder="1" applyAlignment="1">
      <alignment vertical="center"/>
    </xf>
    <xf numFmtId="0" fontId="2" fillId="3" borderId="10" xfId="0" applyFont="1" applyFill="1" applyBorder="1" applyAlignment="1">
      <alignment vertical="center"/>
    </xf>
    <xf numFmtId="0" fontId="0" fillId="3" borderId="10" xfId="0" applyFont="1" applyFill="1" applyBorder="1" applyAlignment="1">
      <alignment vertical="center"/>
    </xf>
    <xf numFmtId="0" fontId="3" fillId="3" borderId="31" xfId="0" applyFont="1" applyFill="1" applyBorder="1" applyAlignment="1">
      <alignment vertical="center"/>
    </xf>
    <xf numFmtId="4" fontId="14" fillId="3" borderId="2" xfId="0" applyNumberFormat="1" applyFont="1" applyFill="1" applyBorder="1" applyAlignment="1">
      <alignment vertical="center"/>
    </xf>
    <xf numFmtId="4" fontId="9" fillId="3" borderId="23" xfId="0" applyNumberFormat="1" applyFont="1" applyFill="1" applyBorder="1" applyAlignment="1">
      <alignment vertical="center"/>
    </xf>
    <xf numFmtId="4" fontId="8" fillId="3" borderId="2" xfId="0" applyNumberFormat="1" applyFont="1" applyFill="1" applyBorder="1" applyAlignment="1">
      <alignment vertical="center"/>
    </xf>
    <xf numFmtId="4" fontId="5" fillId="3" borderId="2" xfId="0" applyNumberFormat="1" applyFont="1" applyFill="1" applyBorder="1"/>
    <xf numFmtId="0" fontId="44" fillId="3" borderId="3" xfId="0" applyFont="1" applyFill="1" applyBorder="1"/>
    <xf numFmtId="4" fontId="0" fillId="0" borderId="2" xfId="0" applyNumberFormat="1" applyFont="1" applyBorder="1" applyAlignment="1">
      <alignment vertical="center"/>
    </xf>
    <xf numFmtId="0" fontId="2" fillId="3" borderId="3" xfId="0" applyFont="1" applyFill="1" applyBorder="1"/>
    <xf numFmtId="4" fontId="0" fillId="0" borderId="14" xfId="0" applyNumberFormat="1" applyFont="1" applyBorder="1" applyAlignment="1">
      <alignment vertical="center"/>
    </xf>
    <xf numFmtId="0" fontId="6" fillId="3" borderId="14" xfId="0" applyFont="1" applyFill="1" applyBorder="1"/>
    <xf numFmtId="0" fontId="45" fillId="3" borderId="14" xfId="0" applyFont="1" applyFill="1" applyBorder="1"/>
    <xf numFmtId="0" fontId="44" fillId="0" borderId="0" xfId="0" applyFont="1"/>
    <xf numFmtId="4" fontId="26" fillId="3" borderId="2" xfId="0" applyNumberFormat="1" applyFont="1" applyFill="1" applyBorder="1" applyAlignment="1">
      <alignment shrinkToFit="1"/>
    </xf>
    <xf numFmtId="0" fontId="6" fillId="3" borderId="2" xfId="0" applyFont="1" applyFill="1" applyBorder="1"/>
    <xf numFmtId="0" fontId="45" fillId="3" borderId="3" xfId="0" applyFont="1" applyFill="1" applyBorder="1"/>
    <xf numFmtId="4" fontId="0" fillId="0" borderId="7" xfId="0" applyNumberFormat="1" applyFont="1" applyBorder="1" applyAlignment="1">
      <alignment vertical="center"/>
    </xf>
    <xf numFmtId="0" fontId="2" fillId="3" borderId="12" xfId="0" applyFont="1" applyFill="1" applyBorder="1" applyAlignment="1">
      <alignment vertical="center"/>
    </xf>
    <xf numFmtId="0" fontId="46" fillId="0" borderId="0" xfId="0" applyFont="1" applyBorder="1"/>
    <xf numFmtId="0" fontId="0" fillId="3" borderId="9" xfId="0" applyFont="1" applyFill="1" applyBorder="1" applyAlignment="1">
      <alignment vertical="center" wrapText="1"/>
    </xf>
    <xf numFmtId="0" fontId="45" fillId="0" borderId="0" xfId="0" applyFont="1" applyBorder="1"/>
    <xf numFmtId="0" fontId="9" fillId="3" borderId="9" xfId="0" applyFont="1" applyFill="1" applyBorder="1" applyAlignment="1">
      <alignment vertical="center" wrapText="1"/>
    </xf>
    <xf numFmtId="0" fontId="3" fillId="0" borderId="10" xfId="0" applyFont="1" applyFill="1" applyBorder="1" applyAlignment="1">
      <alignment horizontal="left" vertical="center" wrapText="1"/>
    </xf>
    <xf numFmtId="0" fontId="3" fillId="3" borderId="31" xfId="0" applyFont="1" applyFill="1" applyBorder="1" applyAlignment="1">
      <alignment horizontal="left" vertical="center" wrapText="1"/>
    </xf>
    <xf numFmtId="0" fontId="8" fillId="3" borderId="13" xfId="0" applyFont="1" applyFill="1" applyBorder="1"/>
    <xf numFmtId="0" fontId="26" fillId="3" borderId="3" xfId="0" applyFont="1" applyFill="1" applyBorder="1"/>
    <xf numFmtId="4" fontId="9" fillId="0" borderId="7" xfId="0" applyNumberFormat="1" applyFont="1" applyBorder="1" applyAlignment="1">
      <alignment vertical="center"/>
    </xf>
    <xf numFmtId="0" fontId="2" fillId="3" borderId="6" xfId="0" applyFont="1" applyFill="1" applyBorder="1" applyAlignment="1">
      <alignment vertical="center" wrapText="1"/>
    </xf>
    <xf numFmtId="0" fontId="3" fillId="3" borderId="7" xfId="0" applyFont="1" applyFill="1" applyBorder="1" applyAlignment="1">
      <alignment vertical="center"/>
    </xf>
    <xf numFmtId="0" fontId="0" fillId="3" borderId="6" xfId="0" applyFont="1" applyFill="1" applyBorder="1" applyAlignment="1">
      <alignment vertical="center" wrapText="1"/>
    </xf>
    <xf numFmtId="0" fontId="0" fillId="3" borderId="6" xfId="0" applyFont="1" applyFill="1" applyBorder="1" applyAlignment="1">
      <alignment vertical="center"/>
    </xf>
    <xf numFmtId="0" fontId="10" fillId="0" borderId="0" xfId="0" applyFont="1" applyAlignment="1">
      <alignment vertical="center"/>
    </xf>
    <xf numFmtId="0" fontId="2" fillId="0" borderId="6" xfId="0" applyFont="1" applyBorder="1" applyAlignment="1">
      <alignment vertical="center"/>
    </xf>
    <xf numFmtId="0" fontId="3" fillId="0" borderId="6" xfId="0" applyFont="1" applyBorder="1" applyAlignment="1">
      <alignment vertical="center"/>
    </xf>
    <xf numFmtId="4" fontId="9" fillId="3" borderId="5" xfId="1" applyNumberFormat="1" applyFont="1" applyFill="1" applyBorder="1" applyAlignment="1">
      <alignment vertical="center"/>
    </xf>
    <xf numFmtId="0" fontId="3" fillId="3" borderId="9" xfId="0" applyFont="1" applyFill="1" applyBorder="1" applyAlignment="1">
      <alignment vertical="center" wrapText="1"/>
    </xf>
    <xf numFmtId="0" fontId="3" fillId="3" borderId="11" xfId="0" applyFont="1" applyFill="1" applyBorder="1" applyAlignment="1">
      <alignment vertical="center"/>
    </xf>
    <xf numFmtId="0" fontId="2" fillId="0" borderId="6" xfId="0" applyFont="1" applyFill="1" applyBorder="1" applyAlignment="1">
      <alignment vertical="center"/>
    </xf>
    <xf numFmtId="4" fontId="9" fillId="0" borderId="5" xfId="1" applyNumberFormat="1" applyFont="1" applyFill="1" applyBorder="1" applyAlignment="1">
      <alignment vertical="center"/>
    </xf>
    <xf numFmtId="0" fontId="3" fillId="0" borderId="9" xfId="0" applyFont="1" applyBorder="1" applyAlignment="1">
      <alignment vertical="center" wrapText="1"/>
    </xf>
    <xf numFmtId="0" fontId="9" fillId="0" borderId="5" xfId="0" applyFont="1" applyBorder="1" applyAlignment="1">
      <alignment vertical="center" wrapText="1"/>
    </xf>
    <xf numFmtId="4" fontId="0" fillId="0" borderId="0" xfId="0" applyNumberFormat="1" applyFont="1" applyFill="1" applyBorder="1"/>
    <xf numFmtId="4" fontId="0" fillId="0" borderId="11" xfId="0" applyNumberFormat="1" applyFont="1" applyBorder="1" applyAlignment="1">
      <alignment vertical="center"/>
    </xf>
    <xf numFmtId="4" fontId="9" fillId="0" borderId="10" xfId="0" applyNumberFormat="1" applyFont="1" applyBorder="1" applyAlignment="1">
      <alignment vertical="center"/>
    </xf>
    <xf numFmtId="4" fontId="0" fillId="3" borderId="4" xfId="0" applyNumberFormat="1" applyFont="1" applyFill="1" applyBorder="1"/>
    <xf numFmtId="0" fontId="0" fillId="3" borderId="4" xfId="0" applyFont="1" applyFill="1" applyBorder="1"/>
    <xf numFmtId="0" fontId="3" fillId="3" borderId="4" xfId="0" applyFont="1" applyFill="1" applyBorder="1"/>
    <xf numFmtId="4" fontId="9" fillId="3" borderId="4" xfId="0" applyNumberFormat="1" applyFont="1" applyFill="1" applyBorder="1"/>
    <xf numFmtId="4" fontId="0" fillId="0" borderId="15" xfId="0" applyNumberFormat="1" applyFont="1" applyBorder="1" applyAlignment="1">
      <alignment vertical="center"/>
    </xf>
    <xf numFmtId="0" fontId="3" fillId="3" borderId="6" xfId="0" applyFont="1" applyFill="1" applyBorder="1" applyAlignment="1">
      <alignment vertical="center"/>
    </xf>
    <xf numFmtId="0" fontId="2" fillId="3" borderId="11" xfId="0" applyFont="1" applyFill="1" applyBorder="1" applyAlignment="1">
      <alignment vertical="center"/>
    </xf>
    <xf numFmtId="4" fontId="9" fillId="0" borderId="27" xfId="0" applyNumberFormat="1" applyFont="1" applyBorder="1" applyAlignment="1">
      <alignment vertical="center"/>
    </xf>
    <xf numFmtId="4" fontId="9" fillId="0" borderId="22" xfId="0" applyNumberFormat="1" applyFont="1" applyBorder="1" applyAlignment="1">
      <alignment vertical="center"/>
    </xf>
    <xf numFmtId="0" fontId="3" fillId="3" borderId="10" xfId="0" applyFont="1" applyFill="1" applyBorder="1" applyAlignment="1">
      <alignment vertical="center" wrapText="1"/>
    </xf>
    <xf numFmtId="4" fontId="0" fillId="0" borderId="6" xfId="0" applyNumberFormat="1" applyFont="1" applyBorder="1" applyAlignment="1">
      <alignment shrinkToFit="1"/>
    </xf>
    <xf numFmtId="4" fontId="2" fillId="0" borderId="6" xfId="0" applyNumberFormat="1" applyFont="1" applyBorder="1" applyAlignment="1">
      <alignment shrinkToFit="1"/>
    </xf>
    <xf numFmtId="0" fontId="3" fillId="3" borderId="6" xfId="0" applyFont="1" applyFill="1" applyBorder="1"/>
    <xf numFmtId="0" fontId="3" fillId="3" borderId="11" xfId="0" applyFont="1" applyFill="1" applyBorder="1"/>
    <xf numFmtId="4" fontId="2" fillId="0" borderId="5" xfId="0" applyNumberFormat="1" applyFont="1" applyBorder="1" applyAlignment="1">
      <alignment shrinkToFit="1"/>
    </xf>
    <xf numFmtId="0" fontId="0" fillId="0" borderId="5" xfId="0" applyFont="1" applyBorder="1" applyAlignment="1">
      <alignment vertical="center"/>
    </xf>
    <xf numFmtId="4" fontId="0" fillId="0" borderId="5" xfId="0" applyNumberFormat="1" applyFont="1" applyFill="1" applyBorder="1" applyAlignment="1">
      <alignment shrinkToFit="1"/>
    </xf>
    <xf numFmtId="4" fontId="2" fillId="0" borderId="5" xfId="0" applyNumberFormat="1" applyFont="1" applyFill="1" applyBorder="1" applyAlignment="1">
      <alignment shrinkToFit="1"/>
    </xf>
    <xf numFmtId="0" fontId="2" fillId="3" borderId="5" xfId="0" applyFont="1" applyFill="1" applyBorder="1" applyAlignment="1">
      <alignment wrapText="1"/>
    </xf>
    <xf numFmtId="0" fontId="2" fillId="3" borderId="9" xfId="0" applyFont="1" applyFill="1" applyBorder="1"/>
    <xf numFmtId="4" fontId="0" fillId="0" borderId="5" xfId="0" applyNumberFormat="1" applyFont="1" applyBorder="1" applyAlignment="1">
      <alignment horizontal="right" vertical="center"/>
    </xf>
    <xf numFmtId="0" fontId="2" fillId="0" borderId="0" xfId="0" applyFont="1" applyFill="1"/>
    <xf numFmtId="0" fontId="10" fillId="0" borderId="0" xfId="0" applyFont="1" applyFill="1" applyAlignment="1">
      <alignment vertical="center"/>
    </xf>
    <xf numFmtId="0" fontId="2" fillId="6" borderId="0" xfId="0" applyFont="1" applyFill="1"/>
    <xf numFmtId="0" fontId="2" fillId="3" borderId="0" xfId="0" applyFont="1" applyFill="1"/>
    <xf numFmtId="4" fontId="9" fillId="0" borderId="15" xfId="0" applyNumberFormat="1" applyFont="1" applyBorder="1" applyAlignment="1">
      <alignment vertical="center"/>
    </xf>
    <xf numFmtId="0" fontId="3" fillId="0" borderId="7" xfId="0" applyFont="1" applyBorder="1" applyAlignment="1">
      <alignment vertical="center"/>
    </xf>
    <xf numFmtId="0" fontId="9" fillId="0" borderId="5" xfId="0" applyFont="1" applyBorder="1" applyAlignment="1">
      <alignment vertical="center"/>
    </xf>
    <xf numFmtId="0" fontId="9" fillId="0" borderId="9" xfId="0" applyFont="1" applyBorder="1" applyAlignment="1">
      <alignment vertical="center"/>
    </xf>
    <xf numFmtId="0" fontId="0" fillId="3" borderId="0" xfId="0" applyFont="1" applyFill="1"/>
    <xf numFmtId="0" fontId="0" fillId="0" borderId="5" xfId="0" applyFont="1" applyFill="1" applyBorder="1" applyAlignment="1">
      <alignment vertical="center" wrapText="1"/>
    </xf>
    <xf numFmtId="0" fontId="3" fillId="0" borderId="5" xfId="0" applyFont="1" applyFill="1" applyBorder="1" applyAlignment="1">
      <alignment vertical="center" wrapText="1"/>
    </xf>
    <xf numFmtId="0" fontId="3" fillId="0" borderId="4" xfId="0" applyFont="1" applyBorder="1" applyAlignment="1">
      <alignment vertical="center"/>
    </xf>
    <xf numFmtId="4" fontId="14" fillId="0" borderId="2" xfId="0" applyNumberFormat="1" applyFont="1" applyBorder="1" applyAlignment="1">
      <alignment shrinkToFit="1"/>
    </xf>
    <xf numFmtId="0" fontId="5" fillId="0" borderId="2" xfId="0" applyFont="1" applyBorder="1"/>
    <xf numFmtId="4" fontId="9" fillId="0" borderId="2" xfId="0" applyNumberFormat="1" applyFont="1" applyBorder="1" applyAlignment="1">
      <alignment vertical="center"/>
    </xf>
    <xf numFmtId="4" fontId="0" fillId="0" borderId="2" xfId="0" applyNumberFormat="1" applyFont="1" applyBorder="1" applyAlignment="1">
      <alignment vertical="center" shrinkToFit="1"/>
    </xf>
    <xf numFmtId="4" fontId="9" fillId="0" borderId="2" xfId="0" applyNumberFormat="1" applyFont="1" applyBorder="1" applyAlignment="1">
      <alignment vertical="center" shrinkToFit="1"/>
    </xf>
    <xf numFmtId="0" fontId="26" fillId="0" borderId="2" xfId="0" applyFont="1" applyBorder="1"/>
    <xf numFmtId="0" fontId="2" fillId="0" borderId="2" xfId="0" applyFont="1" applyBorder="1"/>
    <xf numFmtId="0" fontId="50" fillId="0" borderId="0" xfId="0" applyFont="1" applyFill="1" applyBorder="1" applyAlignment="1"/>
    <xf numFmtId="0" fontId="50" fillId="5" borderId="2" xfId="0" applyFont="1" applyFill="1" applyBorder="1"/>
    <xf numFmtId="0" fontId="51" fillId="0" borderId="0" xfId="0" applyFont="1" applyFill="1" applyBorder="1" applyAlignment="1"/>
    <xf numFmtId="4" fontId="52" fillId="3" borderId="4" xfId="0" applyNumberFormat="1" applyFont="1" applyFill="1" applyBorder="1"/>
    <xf numFmtId="0" fontId="52" fillId="3" borderId="4" xfId="0" applyFont="1" applyFill="1" applyBorder="1"/>
    <xf numFmtId="0" fontId="53" fillId="3" borderId="13" xfId="0" applyFont="1" applyFill="1" applyBorder="1"/>
    <xf numFmtId="4" fontId="54" fillId="3" borderId="15" xfId="0" applyNumberFormat="1" applyFont="1" applyFill="1" applyBorder="1"/>
    <xf numFmtId="0" fontId="53" fillId="3" borderId="15" xfId="0" applyFont="1" applyFill="1" applyBorder="1" applyAlignment="1">
      <alignment vertical="center"/>
    </xf>
    <xf numFmtId="0" fontId="53" fillId="3" borderId="15" xfId="0" applyFont="1" applyFill="1" applyBorder="1"/>
    <xf numFmtId="4" fontId="52" fillId="3" borderId="22" xfId="0" applyNumberFormat="1" applyFont="1" applyFill="1" applyBorder="1"/>
    <xf numFmtId="0" fontId="55" fillId="3" borderId="22" xfId="0" applyFont="1" applyFill="1" applyBorder="1"/>
    <xf numFmtId="0" fontId="53" fillId="3" borderId="22" xfId="0" applyFont="1" applyFill="1" applyBorder="1"/>
    <xf numFmtId="0" fontId="44" fillId="0" borderId="0" xfId="0" applyFont="1" applyFill="1" applyBorder="1" applyAlignment="1"/>
    <xf numFmtId="4" fontId="52" fillId="3" borderId="2" xfId="0" applyNumberFormat="1" applyFont="1" applyFill="1" applyBorder="1"/>
    <xf numFmtId="0" fontId="55" fillId="3" borderId="2" xfId="0" applyFont="1" applyFill="1" applyBorder="1"/>
    <xf numFmtId="0" fontId="56" fillId="3" borderId="2" xfId="0" applyFont="1" applyFill="1" applyBorder="1"/>
    <xf numFmtId="0" fontId="57" fillId="0" borderId="0" xfId="0" applyFont="1" applyFill="1" applyBorder="1" applyAlignment="1">
      <alignment vertical="center"/>
    </xf>
    <xf numFmtId="4" fontId="52" fillId="3" borderId="15" xfId="0" applyNumberFormat="1" applyFont="1" applyFill="1" applyBorder="1"/>
    <xf numFmtId="0" fontId="53" fillId="5" borderId="24" xfId="0" applyFont="1" applyFill="1" applyBorder="1"/>
    <xf numFmtId="0" fontId="53" fillId="5" borderId="10" xfId="0" applyFont="1" applyFill="1" applyBorder="1"/>
    <xf numFmtId="0" fontId="53" fillId="3" borderId="4" xfId="0" applyFont="1" applyFill="1" applyBorder="1"/>
    <xf numFmtId="4" fontId="52" fillId="5" borderId="5" xfId="0" applyNumberFormat="1" applyFont="1" applyFill="1" applyBorder="1"/>
    <xf numFmtId="0" fontId="53" fillId="5" borderId="9" xfId="0" applyFont="1" applyFill="1" applyBorder="1"/>
    <xf numFmtId="0" fontId="53" fillId="3" borderId="5" xfId="0" applyFont="1" applyFill="1" applyBorder="1"/>
    <xf numFmtId="0" fontId="55" fillId="5" borderId="31" xfId="0" applyFont="1" applyFill="1" applyBorder="1"/>
    <xf numFmtId="4" fontId="54" fillId="3" borderId="7" xfId="0" applyNumberFormat="1" applyFont="1" applyFill="1" applyBorder="1"/>
    <xf numFmtId="0" fontId="53" fillId="3" borderId="7" xfId="0" applyFont="1" applyFill="1" applyBorder="1"/>
    <xf numFmtId="4" fontId="54" fillId="3" borderId="5" xfId="0" applyNumberFormat="1" applyFont="1" applyFill="1" applyBorder="1"/>
    <xf numFmtId="0" fontId="53" fillId="0" borderId="5" xfId="0" applyFont="1" applyFill="1" applyBorder="1"/>
    <xf numFmtId="4" fontId="52" fillId="3" borderId="2" xfId="0" applyNumberFormat="1" applyFont="1" applyFill="1" applyBorder="1" applyAlignment="1">
      <alignment vertical="center"/>
    </xf>
    <xf numFmtId="0" fontId="55" fillId="3" borderId="15" xfId="0" applyFont="1" applyFill="1" applyBorder="1" applyAlignment="1">
      <alignment vertical="center" wrapText="1"/>
    </xf>
    <xf numFmtId="0" fontId="53" fillId="3" borderId="2" xfId="0" applyFont="1" applyFill="1" applyBorder="1"/>
    <xf numFmtId="0" fontId="55" fillId="3" borderId="15" xfId="0" applyFont="1" applyFill="1" applyBorder="1"/>
    <xf numFmtId="0" fontId="8" fillId="3" borderId="5" xfId="0" applyFont="1" applyFill="1" applyBorder="1"/>
    <xf numFmtId="0" fontId="8" fillId="3" borderId="4" xfId="0" applyFont="1" applyFill="1" applyBorder="1"/>
    <xf numFmtId="0" fontId="51" fillId="6" borderId="0" xfId="0" applyFont="1" applyFill="1" applyBorder="1" applyAlignment="1"/>
    <xf numFmtId="4" fontId="55" fillId="0" borderId="2" xfId="0" applyNumberFormat="1" applyFont="1" applyFill="1" applyBorder="1" applyAlignment="1">
      <alignment vertical="center"/>
    </xf>
    <xf numFmtId="0" fontId="55" fillId="0" borderId="2" xfId="0" applyFont="1" applyFill="1" applyBorder="1" applyAlignment="1">
      <alignment vertical="center" wrapText="1"/>
    </xf>
    <xf numFmtId="4" fontId="52" fillId="3" borderId="13" xfId="0" applyNumberFormat="1" applyFont="1" applyFill="1" applyBorder="1"/>
    <xf numFmtId="0" fontId="55" fillId="3" borderId="13" xfId="0" applyFont="1" applyFill="1" applyBorder="1"/>
    <xf numFmtId="0" fontId="51" fillId="3" borderId="0" xfId="0" applyFont="1" applyFill="1" applyBorder="1" applyAlignment="1"/>
    <xf numFmtId="4" fontId="52" fillId="3" borderId="7" xfId="0" applyNumberFormat="1" applyFont="1" applyFill="1" applyBorder="1"/>
    <xf numFmtId="0" fontId="55" fillId="3" borderId="7" xfId="0" applyFont="1" applyFill="1" applyBorder="1"/>
    <xf numFmtId="0" fontId="54" fillId="3" borderId="5" xfId="0" applyFont="1" applyFill="1" applyBorder="1"/>
    <xf numFmtId="4" fontId="52" fillId="3" borderId="4" xfId="0" applyNumberFormat="1" applyFont="1" applyFill="1" applyBorder="1" applyAlignment="1">
      <alignment vertical="center"/>
    </xf>
    <xf numFmtId="0" fontId="52" fillId="3" borderId="23" xfId="0" applyFont="1" applyFill="1" applyBorder="1" applyAlignment="1">
      <alignment vertical="center" wrapText="1"/>
    </xf>
    <xf numFmtId="4" fontId="54" fillId="3" borderId="4" xfId="0" applyNumberFormat="1" applyFont="1" applyFill="1" applyBorder="1"/>
    <xf numFmtId="0" fontId="52" fillId="3" borderId="13" xfId="0" applyFont="1" applyFill="1" applyBorder="1" applyAlignment="1">
      <alignment vertical="center" wrapText="1"/>
    </xf>
    <xf numFmtId="0" fontId="50" fillId="3" borderId="4" xfId="0" applyFont="1" applyFill="1" applyBorder="1"/>
    <xf numFmtId="165" fontId="54" fillId="0" borderId="5" xfId="0" applyNumberFormat="1" applyFont="1" applyFill="1" applyBorder="1" applyAlignment="1"/>
    <xf numFmtId="165" fontId="58" fillId="0" borderId="5" xfId="0" applyNumberFormat="1" applyFont="1" applyFill="1" applyBorder="1" applyAlignment="1"/>
    <xf numFmtId="165" fontId="54" fillId="0" borderId="4" xfId="0" applyNumberFormat="1" applyFont="1" applyFill="1" applyBorder="1" applyAlignment="1"/>
    <xf numFmtId="0" fontId="14" fillId="5" borderId="4" xfId="0" applyFont="1" applyFill="1" applyBorder="1"/>
    <xf numFmtId="0" fontId="50" fillId="5" borderId="4" xfId="0" applyFont="1" applyFill="1" applyBorder="1"/>
    <xf numFmtId="4" fontId="0" fillId="0" borderId="0" xfId="0" applyNumberFormat="1" applyFont="1" applyFill="1" applyBorder="1" applyAlignment="1">
      <alignment vertical="center"/>
    </xf>
    <xf numFmtId="4" fontId="54" fillId="7" borderId="5" xfId="0" applyNumberFormat="1" applyFont="1" applyFill="1" applyBorder="1" applyAlignment="1">
      <alignment vertical="center"/>
    </xf>
    <xf numFmtId="4" fontId="53" fillId="8" borderId="4" xfId="0" applyNumberFormat="1" applyFont="1" applyFill="1" applyBorder="1" applyAlignment="1"/>
    <xf numFmtId="0" fontId="53" fillId="8" borderId="5" xfId="0" applyFont="1" applyFill="1" applyBorder="1"/>
    <xf numFmtId="4" fontId="2" fillId="0" borderId="0" xfId="0" applyNumberFormat="1" applyFont="1" applyFill="1" applyBorder="1" applyAlignment="1"/>
    <xf numFmtId="165" fontId="54" fillId="0" borderId="22" xfId="0" applyNumberFormat="1" applyFont="1" applyFill="1" applyBorder="1" applyAlignment="1"/>
    <xf numFmtId="165" fontId="58" fillId="0" borderId="4" xfId="0" applyNumberFormat="1" applyFont="1" applyFill="1" applyBorder="1" applyAlignment="1"/>
    <xf numFmtId="0" fontId="5" fillId="5" borderId="4" xfId="0" applyFont="1" applyFill="1" applyBorder="1"/>
    <xf numFmtId="0" fontId="60" fillId="0" borderId="0" xfId="0" applyFont="1" applyFill="1" applyBorder="1" applyAlignment="1"/>
    <xf numFmtId="4" fontId="26" fillId="3" borderId="2" xfId="0" applyNumberFormat="1" applyFont="1" applyFill="1" applyBorder="1"/>
    <xf numFmtId="0" fontId="60" fillId="5" borderId="2" xfId="0" applyFont="1" applyFill="1" applyBorder="1"/>
    <xf numFmtId="0" fontId="53" fillId="5" borderId="6" xfId="0" applyFont="1" applyFill="1" applyBorder="1"/>
    <xf numFmtId="4" fontId="29" fillId="5" borderId="5" xfId="0" applyNumberFormat="1" applyFont="1" applyFill="1" applyBorder="1"/>
    <xf numFmtId="0" fontId="5" fillId="5" borderId="5" xfId="0" applyFont="1" applyFill="1" applyBorder="1"/>
    <xf numFmtId="0" fontId="50" fillId="5" borderId="5" xfId="0" applyFont="1" applyFill="1" applyBorder="1"/>
    <xf numFmtId="0" fontId="56" fillId="3" borderId="5" xfId="0" applyFont="1" applyFill="1" applyBorder="1"/>
    <xf numFmtId="0" fontId="51" fillId="3" borderId="5" xfId="0" applyFont="1" applyFill="1" applyBorder="1"/>
    <xf numFmtId="0" fontId="2" fillId="0" borderId="0" xfId="0" applyFont="1" applyFill="1" applyAlignment="1">
      <alignment horizontal="center" vertical="center"/>
    </xf>
    <xf numFmtId="4" fontId="8" fillId="0" borderId="22" xfId="0" applyNumberFormat="1" applyFont="1" applyFill="1" applyBorder="1" applyAlignment="1">
      <alignment horizontal="center" vertical="center" wrapText="1"/>
    </xf>
    <xf numFmtId="4" fontId="0" fillId="0" borderId="22" xfId="0" applyNumberFormat="1" applyFont="1" applyBorder="1" applyAlignment="1">
      <alignment horizontal="center" vertical="center" wrapText="1"/>
    </xf>
    <xf numFmtId="4" fontId="8" fillId="0" borderId="22" xfId="0" applyNumberFormat="1" applyFont="1" applyBorder="1" applyAlignment="1">
      <alignment horizontal="center" wrapText="1"/>
    </xf>
    <xf numFmtId="0" fontId="11" fillId="0" borderId="2" xfId="0" applyFont="1" applyBorder="1" applyAlignment="1">
      <alignment horizontal="center" vertical="center" wrapText="1"/>
    </xf>
    <xf numFmtId="0" fontId="5" fillId="0" borderId="34" xfId="0" applyFont="1" applyBorder="1" applyAlignment="1">
      <alignment horizontal="center" vertical="center" wrapText="1"/>
    </xf>
    <xf numFmtId="4" fontId="8" fillId="0" borderId="34" xfId="0" applyNumberFormat="1" applyFont="1" applyBorder="1" applyAlignment="1">
      <alignment horizontal="center" wrapText="1"/>
    </xf>
    <xf numFmtId="4" fontId="0" fillId="0" borderId="34" xfId="0" applyNumberFormat="1" applyFont="1" applyBorder="1" applyAlignment="1">
      <alignment horizontal="center" vertical="center" wrapText="1"/>
    </xf>
    <xf numFmtId="4" fontId="8" fillId="0" borderId="34" xfId="0" applyNumberFormat="1" applyFont="1" applyFill="1" applyBorder="1" applyAlignment="1">
      <alignment horizontal="center" vertical="center" wrapText="1"/>
    </xf>
    <xf numFmtId="4" fontId="8" fillId="0" borderId="35" xfId="0" applyNumberFormat="1" applyFont="1" applyFill="1" applyBorder="1" applyAlignment="1">
      <alignment horizontal="center" vertical="center" wrapText="1"/>
    </xf>
    <xf numFmtId="165" fontId="54" fillId="0" borderId="13" xfId="0" applyNumberFormat="1" applyFont="1" applyFill="1" applyBorder="1" applyAlignment="1"/>
    <xf numFmtId="4" fontId="58" fillId="8" borderId="4" xfId="0" applyNumberFormat="1" applyFont="1" applyFill="1" applyBorder="1" applyAlignment="1">
      <alignment vertical="center"/>
    </xf>
    <xf numFmtId="4" fontId="58" fillId="7" borderId="4" xfId="0" applyNumberFormat="1" applyFont="1" applyFill="1" applyBorder="1" applyAlignment="1">
      <alignment vertical="center"/>
    </xf>
    <xf numFmtId="4" fontId="58" fillId="7" borderId="5" xfId="0" applyNumberFormat="1" applyFont="1" applyFill="1" applyBorder="1" applyAlignment="1">
      <alignment vertical="center"/>
    </xf>
    <xf numFmtId="4" fontId="14" fillId="0" borderId="2" xfId="0" applyNumberFormat="1" applyFont="1" applyBorder="1" applyAlignment="1">
      <alignment vertical="center"/>
    </xf>
    <xf numFmtId="4" fontId="0" fillId="0" borderId="4" xfId="0" applyNumberFormat="1" applyFont="1" applyBorder="1" applyAlignment="1">
      <alignment vertical="center" shrinkToFit="1"/>
    </xf>
    <xf numFmtId="4" fontId="9" fillId="0" borderId="5" xfId="0" applyNumberFormat="1" applyFont="1" applyBorder="1" applyAlignment="1">
      <alignment shrinkToFit="1"/>
    </xf>
    <xf numFmtId="4" fontId="9" fillId="0" borderId="5" xfId="0" applyNumberFormat="1" applyFont="1" applyFill="1" applyBorder="1"/>
    <xf numFmtId="4" fontId="1" fillId="0" borderId="5" xfId="1" applyNumberFormat="1" applyFont="1" applyFill="1" applyBorder="1" applyAlignment="1">
      <alignment vertical="center"/>
    </xf>
    <xf numFmtId="4" fontId="0" fillId="3" borderId="13" xfId="0" applyNumberFormat="1" applyFont="1" applyFill="1" applyBorder="1" applyAlignment="1">
      <alignment vertical="center"/>
    </xf>
    <xf numFmtId="4" fontId="2" fillId="3" borderId="13" xfId="0" applyNumberFormat="1" applyFont="1" applyFill="1" applyBorder="1" applyAlignment="1">
      <alignment vertical="center"/>
    </xf>
    <xf numFmtId="4" fontId="9" fillId="0" borderId="13" xfId="0" applyNumberFormat="1" applyFont="1" applyBorder="1" applyAlignment="1">
      <alignment vertical="center"/>
    </xf>
    <xf numFmtId="4" fontId="0" fillId="5" borderId="5" xfId="0" applyNumberFormat="1" applyFont="1" applyFill="1" applyBorder="1"/>
    <xf numFmtId="4" fontId="0" fillId="0" borderId="28" xfId="0" applyNumberFormat="1" applyFont="1" applyFill="1" applyBorder="1" applyAlignment="1">
      <alignment vertical="center"/>
    </xf>
    <xf numFmtId="4" fontId="0" fillId="5" borderId="27" xfId="0" applyNumberFormat="1" applyFont="1" applyFill="1" applyBorder="1"/>
    <xf numFmtId="4" fontId="0" fillId="0" borderId="6" xfId="0" applyNumberFormat="1" applyFont="1" applyFill="1" applyBorder="1"/>
    <xf numFmtId="4" fontId="9" fillId="0" borderId="25" xfId="0" applyNumberFormat="1" applyFont="1" applyFill="1" applyBorder="1" applyAlignment="1">
      <alignment vertical="center"/>
    </xf>
    <xf numFmtId="4" fontId="0" fillId="0" borderId="29" xfId="0" applyNumberFormat="1" applyFont="1" applyFill="1" applyBorder="1" applyAlignment="1">
      <alignment vertical="center"/>
    </xf>
    <xf numFmtId="4" fontId="0" fillId="0" borderId="10" xfId="0" applyNumberFormat="1" applyFont="1" applyFill="1" applyBorder="1" applyAlignment="1">
      <alignment vertical="center"/>
    </xf>
    <xf numFmtId="4" fontId="3" fillId="0" borderId="5" xfId="0" applyNumberFormat="1" applyFont="1" applyBorder="1" applyAlignment="1">
      <alignment vertical="center"/>
    </xf>
    <xf numFmtId="4" fontId="0" fillId="0" borderId="5" xfId="0" applyNumberFormat="1" applyFont="1" applyBorder="1" applyAlignment="1">
      <alignment vertical="center" wrapText="1"/>
    </xf>
    <xf numFmtId="0" fontId="0" fillId="0" borderId="5" xfId="0" applyFont="1" applyBorder="1"/>
    <xf numFmtId="4" fontId="9" fillId="0" borderId="5" xfId="0" applyNumberFormat="1" applyFont="1" applyBorder="1" applyAlignment="1">
      <alignment vertical="center" wrapText="1"/>
    </xf>
    <xf numFmtId="4" fontId="0" fillId="9" borderId="5" xfId="0" applyNumberFormat="1" applyFont="1" applyFill="1" applyBorder="1" applyAlignment="1">
      <alignment vertical="center"/>
    </xf>
    <xf numFmtId="4" fontId="18" fillId="0" borderId="5" xfId="0" applyNumberFormat="1" applyFont="1" applyBorder="1" applyAlignment="1">
      <alignment vertical="center"/>
    </xf>
    <xf numFmtId="4" fontId="33" fillId="0" borderId="4" xfId="0" applyNumberFormat="1" applyFont="1" applyBorder="1" applyAlignment="1">
      <alignment vertical="center"/>
    </xf>
    <xf numFmtId="4" fontId="18" fillId="0" borderId="4" xfId="0" applyNumberFormat="1" applyFont="1" applyBorder="1" applyAlignment="1">
      <alignment vertical="center"/>
    </xf>
    <xf numFmtId="4" fontId="18" fillId="3" borderId="5" xfId="0" applyNumberFormat="1" applyFont="1" applyFill="1" applyBorder="1" applyAlignment="1">
      <alignment vertical="center"/>
    </xf>
    <xf numFmtId="4" fontId="1" fillId="0" borderId="5" xfId="0" applyNumberFormat="1" applyFont="1" applyFill="1" applyBorder="1" applyAlignment="1">
      <alignment vertical="center"/>
    </xf>
    <xf numFmtId="4" fontId="1" fillId="3" borderId="5" xfId="0" applyNumberFormat="1" applyFont="1" applyFill="1" applyBorder="1" applyAlignment="1">
      <alignment vertical="center"/>
    </xf>
    <xf numFmtId="4" fontId="33" fillId="3" borderId="5" xfId="0" applyNumberFormat="1" applyFont="1" applyFill="1" applyBorder="1" applyAlignment="1">
      <alignment vertical="center"/>
    </xf>
    <xf numFmtId="4" fontId="0" fillId="0" borderId="12" xfId="0" applyNumberFormat="1" applyFont="1" applyFill="1" applyBorder="1" applyAlignment="1">
      <alignment vertical="center"/>
    </xf>
    <xf numFmtId="4" fontId="0" fillId="0" borderId="4" xfId="0" applyNumberFormat="1" applyFont="1" applyBorder="1" applyAlignment="1">
      <alignment vertical="center" wrapText="1"/>
    </xf>
    <xf numFmtId="4" fontId="9" fillId="0" borderId="36" xfId="0" applyNumberFormat="1" applyFont="1" applyBorder="1"/>
    <xf numFmtId="4" fontId="0" fillId="0" borderId="36" xfId="0" applyNumberFormat="1" applyFont="1" applyBorder="1"/>
    <xf numFmtId="4" fontId="14" fillId="0" borderId="5" xfId="0" applyNumberFormat="1" applyFont="1" applyBorder="1" applyAlignment="1">
      <alignment vertical="center"/>
    </xf>
    <xf numFmtId="4" fontId="2" fillId="0" borderId="2" xfId="0" applyNumberFormat="1" applyFont="1" applyBorder="1" applyAlignment="1">
      <alignment vertical="center"/>
    </xf>
    <xf numFmtId="4" fontId="14" fillId="0" borderId="22" xfId="0" applyNumberFormat="1" applyFont="1" applyBorder="1" applyAlignment="1">
      <alignment vertical="center"/>
    </xf>
    <xf numFmtId="4" fontId="0" fillId="0" borderId="22" xfId="0" applyNumberFormat="1" applyFont="1" applyBorder="1" applyAlignment="1">
      <alignment vertical="center"/>
    </xf>
    <xf numFmtId="4" fontId="0" fillId="3" borderId="23" xfId="0" applyNumberFormat="1" applyFont="1" applyFill="1" applyBorder="1" applyAlignment="1">
      <alignment vertical="center"/>
    </xf>
    <xf numFmtId="4" fontId="0" fillId="0" borderId="25" xfId="0" applyNumberFormat="1" applyFont="1" applyBorder="1" applyAlignment="1">
      <alignment vertical="center"/>
    </xf>
    <xf numFmtId="4" fontId="14" fillId="3" borderId="5" xfId="0" applyNumberFormat="1" applyFont="1" applyFill="1" applyBorder="1" applyAlignment="1">
      <alignment vertical="center"/>
    </xf>
    <xf numFmtId="0" fontId="2" fillId="0" borderId="6" xfId="0" applyFont="1" applyBorder="1"/>
    <xf numFmtId="0" fontId="0" fillId="0" borderId="6" xfId="0" applyFont="1" applyBorder="1"/>
    <xf numFmtId="4" fontId="0" fillId="0" borderId="9" xfId="0" applyNumberFormat="1" applyFont="1" applyBorder="1" applyAlignment="1">
      <alignment horizontal="right" vertical="center"/>
    </xf>
    <xf numFmtId="4" fontId="0" fillId="5" borderId="6" xfId="0" applyNumberFormat="1" applyFont="1" applyFill="1" applyBorder="1"/>
    <xf numFmtId="4" fontId="9" fillId="3" borderId="6" xfId="0" applyNumberFormat="1" applyFont="1" applyFill="1" applyBorder="1" applyAlignment="1">
      <alignment vertical="center"/>
    </xf>
    <xf numFmtId="4" fontId="9" fillId="5" borderId="4" xfId="0" applyNumberFormat="1" applyFont="1" applyFill="1" applyBorder="1" applyAlignment="1">
      <alignment shrinkToFit="1"/>
    </xf>
    <xf numFmtId="4" fontId="0" fillId="5" borderId="4" xfId="0" applyNumberFormat="1" applyFont="1" applyFill="1" applyBorder="1" applyAlignment="1">
      <alignment shrinkToFit="1"/>
    </xf>
    <xf numFmtId="4" fontId="14" fillId="5" borderId="5" xfId="0" applyNumberFormat="1" applyFont="1" applyFill="1" applyBorder="1" applyAlignment="1">
      <alignment shrinkToFit="1"/>
    </xf>
    <xf numFmtId="4" fontId="0" fillId="5" borderId="5" xfId="0" applyNumberFormat="1" applyFont="1" applyFill="1" applyBorder="1" applyAlignment="1">
      <alignment shrinkToFit="1"/>
    </xf>
    <xf numFmtId="4" fontId="10" fillId="0" borderId="7" xfId="0" applyNumberFormat="1" applyFont="1" applyBorder="1" applyAlignment="1">
      <alignment vertical="center"/>
    </xf>
    <xf numFmtId="4" fontId="9" fillId="0" borderId="4" xfId="0" applyNumberFormat="1" applyFont="1" applyBorder="1"/>
    <xf numFmtId="4" fontId="0" fillId="0" borderId="4" xfId="0" applyNumberFormat="1" applyFont="1" applyBorder="1"/>
    <xf numFmtId="0" fontId="4" fillId="0" borderId="9" xfId="0" applyFont="1" applyFill="1" applyBorder="1" applyAlignment="1">
      <alignment horizontal="right" vertical="center"/>
    </xf>
    <xf numFmtId="0" fontId="2" fillId="0" borderId="5" xfId="0" applyFont="1" applyBorder="1"/>
    <xf numFmtId="4" fontId="63" fillId="0" borderId="5" xfId="0" applyNumberFormat="1" applyFont="1" applyBorder="1"/>
    <xf numFmtId="0" fontId="0" fillId="0" borderId="4" xfId="0" applyFont="1" applyBorder="1"/>
    <xf numFmtId="4" fontId="9" fillId="0" borderId="5" xfId="0" applyNumberFormat="1" applyFont="1" applyFill="1" applyBorder="1" applyAlignment="1">
      <alignment shrinkToFit="1"/>
    </xf>
    <xf numFmtId="4" fontId="9" fillId="0" borderId="4" xfId="0" applyNumberFormat="1" applyFont="1" applyBorder="1" applyAlignment="1">
      <alignment shrinkToFit="1"/>
    </xf>
    <xf numFmtId="4" fontId="57" fillId="0" borderId="5" xfId="0" applyNumberFormat="1" applyFont="1" applyBorder="1" applyAlignment="1">
      <alignment shrinkToFit="1"/>
    </xf>
    <xf numFmtId="4" fontId="57" fillId="0" borderId="2" xfId="0" applyNumberFormat="1" applyFont="1" applyBorder="1" applyAlignment="1">
      <alignment vertical="center"/>
    </xf>
    <xf numFmtId="4" fontId="57" fillId="3" borderId="5" xfId="0" applyNumberFormat="1" applyFont="1" applyFill="1" applyBorder="1" applyAlignment="1">
      <alignment vertical="center"/>
    </xf>
    <xf numFmtId="4" fontId="57" fillId="0" borderId="5" xfId="0" applyNumberFormat="1" applyFont="1" applyBorder="1" applyAlignment="1">
      <alignment vertical="center"/>
    </xf>
    <xf numFmtId="4" fontId="9" fillId="3" borderId="13" xfId="0" applyNumberFormat="1" applyFont="1" applyFill="1" applyBorder="1" applyAlignment="1">
      <alignment vertical="center"/>
    </xf>
    <xf numFmtId="4" fontId="9" fillId="5" borderId="5" xfId="0" applyNumberFormat="1" applyFont="1" applyFill="1" applyBorder="1"/>
    <xf numFmtId="4" fontId="0" fillId="0" borderId="26" xfId="0" applyNumberFormat="1" applyFont="1" applyFill="1" applyBorder="1" applyAlignment="1">
      <alignment vertical="center"/>
    </xf>
    <xf numFmtId="4" fontId="14" fillId="5" borderId="3" xfId="0" applyNumberFormat="1" applyFont="1" applyFill="1" applyBorder="1" applyAlignment="1">
      <alignment vertical="center"/>
    </xf>
    <xf numFmtId="4" fontId="0" fillId="0" borderId="0" xfId="0" applyNumberFormat="1" applyFont="1" applyBorder="1" applyAlignment="1">
      <alignment horizontal="right" vertical="center"/>
    </xf>
    <xf numFmtId="4" fontId="0" fillId="0" borderId="12" xfId="0" applyNumberFormat="1" applyFont="1" applyBorder="1" applyAlignment="1">
      <alignment horizontal="right" vertical="center"/>
    </xf>
    <xf numFmtId="4" fontId="0" fillId="0" borderId="25" xfId="0" applyNumberFormat="1" applyFont="1" applyBorder="1" applyAlignment="1">
      <alignment horizontal="right" vertical="center"/>
    </xf>
    <xf numFmtId="4" fontId="0" fillId="3" borderId="0" xfId="0" applyNumberFormat="1" applyFont="1" applyFill="1" applyBorder="1" applyAlignment="1">
      <alignment vertical="center"/>
    </xf>
    <xf numFmtId="4" fontId="9" fillId="0" borderId="6" xfId="0" applyNumberFormat="1" applyFont="1" applyFill="1" applyBorder="1" applyAlignment="1">
      <alignment vertical="center"/>
    </xf>
    <xf numFmtId="4" fontId="64" fillId="3" borderId="2" xfId="0" applyNumberFormat="1" applyFont="1" applyFill="1" applyBorder="1" applyAlignment="1">
      <alignment vertical="center"/>
    </xf>
    <xf numFmtId="0" fontId="9" fillId="0" borderId="5" xfId="0" applyFont="1" applyBorder="1"/>
    <xf numFmtId="4" fontId="5" fillId="0" borderId="2" xfId="0" applyNumberFormat="1" applyFont="1" applyBorder="1" applyAlignment="1">
      <alignment vertical="center"/>
    </xf>
    <xf numFmtId="4" fontId="9" fillId="5" borderId="5" xfId="0" applyNumberFormat="1" applyFont="1" applyFill="1" applyBorder="1" applyAlignment="1">
      <alignment vertical="center"/>
    </xf>
    <xf numFmtId="4" fontId="10" fillId="3" borderId="2" xfId="0" applyNumberFormat="1" applyFont="1" applyFill="1" applyBorder="1" applyAlignment="1">
      <alignment shrinkToFit="1"/>
    </xf>
    <xf numFmtId="4" fontId="9" fillId="5" borderId="4" xfId="0" applyNumberFormat="1" applyFont="1" applyFill="1" applyBorder="1"/>
    <xf numFmtId="4" fontId="19" fillId="0" borderId="5" xfId="0" applyNumberFormat="1" applyFont="1" applyFill="1" applyBorder="1" applyAlignment="1">
      <alignment vertical="center"/>
    </xf>
    <xf numFmtId="0" fontId="18" fillId="0" borderId="5" xfId="0" applyFont="1" applyBorder="1"/>
    <xf numFmtId="0" fontId="9" fillId="0" borderId="4" xfId="0" applyFont="1" applyBorder="1"/>
    <xf numFmtId="4" fontId="26" fillId="0" borderId="2" xfId="0" applyNumberFormat="1" applyFont="1" applyFill="1" applyBorder="1"/>
    <xf numFmtId="0" fontId="44" fillId="0" borderId="2" xfId="0" applyFont="1" applyBorder="1"/>
    <xf numFmtId="4" fontId="44" fillId="0" borderId="2" xfId="0" applyNumberFormat="1" applyFont="1" applyBorder="1" applyAlignment="1">
      <alignment vertical="center"/>
    </xf>
    <xf numFmtId="0" fontId="5" fillId="0" borderId="2" xfId="0" applyFont="1" applyBorder="1" applyAlignment="1">
      <alignment vertical="center" wrapText="1"/>
    </xf>
    <xf numFmtId="4" fontId="5" fillId="0" borderId="2" xfId="0" applyNumberFormat="1" applyFont="1" applyBorder="1" applyAlignment="1">
      <alignment shrinkToFit="1"/>
    </xf>
    <xf numFmtId="4" fontId="5" fillId="0" borderId="2" xfId="0" applyNumberFormat="1" applyFont="1" applyBorder="1" applyAlignment="1">
      <alignment vertical="center" shrinkToFit="1"/>
    </xf>
    <xf numFmtId="4" fontId="50" fillId="0" borderId="2" xfId="0" applyNumberFormat="1" applyFont="1" applyBorder="1" applyAlignment="1">
      <alignment vertical="center" shrinkToFit="1"/>
    </xf>
    <xf numFmtId="0" fontId="5" fillId="0" borderId="0" xfId="0" applyFont="1" applyFill="1"/>
    <xf numFmtId="0" fontId="5" fillId="0" borderId="3" xfId="0" applyFont="1" applyBorder="1"/>
    <xf numFmtId="4" fontId="5" fillId="0" borderId="2" xfId="0" applyNumberFormat="1" applyFont="1" applyBorder="1"/>
    <xf numFmtId="0" fontId="5" fillId="0" borderId="0" xfId="0" applyFont="1"/>
    <xf numFmtId="4" fontId="2" fillId="0" borderId="0" xfId="0" applyNumberFormat="1" applyFont="1"/>
    <xf numFmtId="0" fontId="5" fillId="3" borderId="3" xfId="0" applyFont="1" applyFill="1" applyBorder="1"/>
    <xf numFmtId="0" fontId="5" fillId="3" borderId="2" xfId="0" applyFont="1" applyFill="1" applyBorder="1"/>
    <xf numFmtId="4" fontId="26" fillId="0" borderId="2" xfId="0" applyNumberFormat="1" applyFont="1" applyBorder="1" applyAlignment="1">
      <alignment vertical="center"/>
    </xf>
    <xf numFmtId="0" fontId="26" fillId="0" borderId="0" xfId="0" applyFont="1"/>
    <xf numFmtId="4" fontId="2" fillId="0" borderId="0" xfId="0" applyNumberFormat="1" applyFont="1" applyFill="1" applyBorder="1"/>
    <xf numFmtId="4" fontId="2" fillId="0" borderId="0" xfId="0" applyNumberFormat="1" applyFont="1" applyAlignment="1">
      <alignment vertical="center"/>
    </xf>
    <xf numFmtId="4" fontId="26" fillId="3" borderId="2" xfId="0" applyNumberFormat="1" applyFont="1" applyFill="1" applyBorder="1" applyAlignment="1">
      <alignment vertical="center"/>
    </xf>
    <xf numFmtId="0" fontId="9" fillId="3" borderId="5" xfId="0" applyFont="1" applyFill="1" applyBorder="1" applyAlignment="1">
      <alignment horizontal="right" vertical="center"/>
    </xf>
    <xf numFmtId="0" fontId="7" fillId="9" borderId="10" xfId="0" applyFont="1" applyFill="1" applyBorder="1" applyAlignment="1">
      <alignment horizontal="right" vertical="center" wrapText="1"/>
    </xf>
    <xf numFmtId="4" fontId="48" fillId="0" borderId="5" xfId="0" applyNumberFormat="1" applyFont="1" applyBorder="1"/>
    <xf numFmtId="0" fontId="8" fillId="0" borderId="0" xfId="0" applyFont="1" applyFill="1"/>
    <xf numFmtId="4" fontId="60" fillId="0" borderId="0" xfId="0" applyNumberFormat="1" applyFont="1" applyFill="1" applyBorder="1" applyAlignment="1"/>
    <xf numFmtId="0" fontId="4" fillId="0" borderId="5" xfId="0" applyFont="1" applyBorder="1" applyAlignment="1">
      <alignment vertical="center" wrapText="1"/>
    </xf>
    <xf numFmtId="4" fontId="4" fillId="3" borderId="5" xfId="0" applyNumberFormat="1" applyFont="1" applyFill="1" applyBorder="1" applyAlignment="1">
      <alignment vertical="center"/>
    </xf>
    <xf numFmtId="4" fontId="8" fillId="0" borderId="2" xfId="0" applyNumberFormat="1" applyFont="1" applyBorder="1" applyAlignment="1">
      <alignment vertical="center"/>
    </xf>
    <xf numFmtId="0" fontId="6" fillId="3" borderId="3" xfId="0" applyFont="1" applyFill="1" applyBorder="1"/>
    <xf numFmtId="4" fontId="6" fillId="3" borderId="2" xfId="0" applyNumberFormat="1" applyFont="1" applyFill="1" applyBorder="1" applyAlignment="1">
      <alignment vertical="center" shrinkToFit="1"/>
    </xf>
    <xf numFmtId="4" fontId="6" fillId="0" borderId="2" xfId="0" applyNumberFormat="1" applyFont="1" applyBorder="1" applyAlignment="1">
      <alignment vertical="center"/>
    </xf>
    <xf numFmtId="0" fontId="6" fillId="0" borderId="0" xfId="0" applyFont="1"/>
    <xf numFmtId="4" fontId="6" fillId="3" borderId="2" xfId="0" applyNumberFormat="1" applyFont="1" applyFill="1" applyBorder="1" applyAlignment="1">
      <alignment shrinkToFit="1"/>
    </xf>
    <xf numFmtId="4" fontId="60" fillId="0" borderId="2" xfId="0" applyNumberFormat="1" applyFont="1" applyBorder="1" applyAlignment="1">
      <alignment vertical="center"/>
    </xf>
    <xf numFmtId="4" fontId="64" fillId="3" borderId="5" xfId="0" applyNumberFormat="1" applyFont="1" applyFill="1" applyBorder="1" applyAlignment="1">
      <alignment vertical="center"/>
    </xf>
    <xf numFmtId="4" fontId="9" fillId="0" borderId="13" xfId="0" applyNumberFormat="1" applyFont="1" applyFill="1" applyBorder="1" applyAlignment="1">
      <alignment vertical="center"/>
    </xf>
    <xf numFmtId="4" fontId="64" fillId="0" borderId="5" xfId="0" applyNumberFormat="1" applyFont="1" applyBorder="1"/>
    <xf numFmtId="0" fontId="10" fillId="0" borderId="2" xfId="0" applyFont="1" applyBorder="1"/>
    <xf numFmtId="4" fontId="18" fillId="0" borderId="13" xfId="0" applyNumberFormat="1" applyFont="1" applyBorder="1" applyAlignment="1">
      <alignment vertical="center"/>
    </xf>
    <xf numFmtId="4" fontId="51" fillId="0" borderId="0" xfId="0" applyNumberFormat="1" applyFont="1"/>
    <xf numFmtId="4" fontId="2" fillId="0" borderId="0" xfId="0" applyNumberFormat="1" applyFont="1" applyBorder="1"/>
    <xf numFmtId="0" fontId="2" fillId="0" borderId="0" xfId="0" applyFont="1" applyAlignment="1">
      <alignment horizontal="right"/>
    </xf>
    <xf numFmtId="4" fontId="8" fillId="0" borderId="29" xfId="0" applyNumberFormat="1" applyFont="1" applyFill="1" applyBorder="1" applyAlignment="1">
      <alignment horizontal="right"/>
    </xf>
    <xf numFmtId="0" fontId="51" fillId="0" borderId="0" xfId="0" applyFont="1" applyFill="1" applyAlignment="1">
      <alignment horizontal="center"/>
    </xf>
    <xf numFmtId="0" fontId="51" fillId="0" borderId="0" xfId="0" applyFont="1"/>
    <xf numFmtId="4" fontId="8" fillId="0" borderId="0" xfId="0" applyNumberFormat="1" applyFont="1" applyFill="1" applyBorder="1" applyAlignment="1">
      <alignment horizontal="right"/>
    </xf>
    <xf numFmtId="4" fontId="2" fillId="0" borderId="0" xfId="0" applyNumberFormat="1" applyFont="1" applyFill="1" applyBorder="1" applyAlignment="1">
      <alignment horizontal="center"/>
    </xf>
    <xf numFmtId="0" fontId="2" fillId="0" borderId="0" xfId="0" applyFont="1" applyFill="1" applyAlignment="1">
      <alignment horizontal="center"/>
    </xf>
    <xf numFmtId="4" fontId="51" fillId="0" borderId="0" xfId="0" applyNumberFormat="1" applyFont="1" applyFill="1"/>
    <xf numFmtId="4" fontId="1" fillId="0" borderId="0" xfId="0" applyNumberFormat="1" applyFont="1" applyFill="1"/>
    <xf numFmtId="4" fontId="51" fillId="0" borderId="29" xfId="0" applyNumberFormat="1" applyFont="1" applyBorder="1"/>
    <xf numFmtId="4" fontId="1" fillId="0" borderId="0" xfId="0" applyNumberFormat="1" applyFont="1"/>
    <xf numFmtId="4" fontId="51" fillId="0" borderId="17" xfId="0" applyNumberFormat="1" applyFont="1" applyBorder="1"/>
    <xf numFmtId="4" fontId="65" fillId="0" borderId="0" xfId="0" applyNumberFormat="1" applyFont="1" applyBorder="1"/>
    <xf numFmtId="0" fontId="0" fillId="0" borderId="29" xfId="0" applyBorder="1"/>
    <xf numFmtId="4" fontId="1" fillId="0" borderId="29" xfId="0" applyNumberFormat="1" applyFont="1" applyBorder="1"/>
    <xf numFmtId="0" fontId="8" fillId="0" borderId="29" xfId="0" applyFont="1" applyBorder="1"/>
    <xf numFmtId="0" fontId="2" fillId="0" borderId="29" xfId="0" applyFont="1" applyBorder="1"/>
    <xf numFmtId="4" fontId="3" fillId="0" borderId="0" xfId="0" applyNumberFormat="1" applyFont="1" applyBorder="1"/>
    <xf numFmtId="4" fontId="8" fillId="0" borderId="29" xfId="0" applyNumberFormat="1" applyFont="1" applyBorder="1"/>
    <xf numFmtId="4" fontId="9" fillId="0" borderId="29" xfId="0" applyNumberFormat="1" applyFont="1" applyBorder="1"/>
    <xf numFmtId="4" fontId="0" fillId="0" borderId="0" xfId="0" applyNumberFormat="1"/>
    <xf numFmtId="4" fontId="2" fillId="0" borderId="17" xfId="0" applyNumberFormat="1" applyFont="1" applyBorder="1"/>
    <xf numFmtId="0" fontId="3" fillId="0" borderId="29" xfId="0" applyFont="1" applyBorder="1"/>
    <xf numFmtId="4" fontId="3" fillId="0" borderId="29" xfId="0" applyNumberFormat="1" applyFont="1" applyBorder="1"/>
    <xf numFmtId="0" fontId="28" fillId="0" borderId="0" xfId="0" applyFont="1"/>
    <xf numFmtId="4" fontId="1" fillId="0" borderId="17" xfId="0" applyNumberFormat="1" applyFont="1" applyBorder="1"/>
    <xf numFmtId="0" fontId="1" fillId="0" borderId="0" xfId="0" applyFont="1"/>
    <xf numFmtId="0" fontId="14" fillId="0" borderId="0" xfId="0" applyFont="1"/>
    <xf numFmtId="4" fontId="14" fillId="0" borderId="0" xfId="0" applyNumberFormat="1" applyFont="1"/>
    <xf numFmtId="4" fontId="3" fillId="0" borderId="0" xfId="0" applyNumberFormat="1" applyFont="1"/>
    <xf numFmtId="4" fontId="2" fillId="0" borderId="29" xfId="0" applyNumberFormat="1" applyFont="1" applyBorder="1"/>
    <xf numFmtId="0" fontId="0" fillId="0" borderId="39" xfId="0" applyBorder="1"/>
    <xf numFmtId="0" fontId="0" fillId="0" borderId="38" xfId="0" applyBorder="1"/>
    <xf numFmtId="0" fontId="0" fillId="0" borderId="40" xfId="0" applyBorder="1"/>
    <xf numFmtId="0" fontId="0" fillId="0" borderId="29" xfId="0" applyBorder="1" applyAlignment="1">
      <alignment horizontal="left"/>
    </xf>
    <xf numFmtId="4" fontId="2" fillId="0" borderId="41" xfId="0" applyNumberFormat="1" applyFont="1" applyBorder="1"/>
    <xf numFmtId="0" fontId="0" fillId="0" borderId="21" xfId="0" applyBorder="1"/>
    <xf numFmtId="0" fontId="0" fillId="0" borderId="25" xfId="0" applyBorder="1" applyAlignment="1">
      <alignment horizontal="left"/>
    </xf>
    <xf numFmtId="0" fontId="0" fillId="0" borderId="25" xfId="0" applyBorder="1"/>
    <xf numFmtId="0" fontId="0" fillId="0" borderId="16" xfId="0" applyBorder="1"/>
    <xf numFmtId="0" fontId="0" fillId="0" borderId="18" xfId="0" applyBorder="1" applyAlignment="1">
      <alignment horizontal="left"/>
    </xf>
    <xf numFmtId="4" fontId="2" fillId="0" borderId="42" xfId="0" applyNumberFormat="1" applyFont="1" applyBorder="1"/>
    <xf numFmtId="0" fontId="0" fillId="0" borderId="16" xfId="0" applyBorder="1" applyAlignment="1">
      <alignment horizontal="left"/>
    </xf>
    <xf numFmtId="0" fontId="0" fillId="0" borderId="21" xfId="0" applyBorder="1" applyAlignment="1">
      <alignment horizontal="left"/>
    </xf>
    <xf numFmtId="0" fontId="0" fillId="0" borderId="20" xfId="0" applyBorder="1" applyAlignment="1">
      <alignment horizontal="left"/>
    </xf>
    <xf numFmtId="0" fontId="0" fillId="0" borderId="17" xfId="0" applyBorder="1" applyAlignment="1">
      <alignment horizontal="left"/>
    </xf>
    <xf numFmtId="0" fontId="0" fillId="0" borderId="17" xfId="0" applyBorder="1"/>
    <xf numFmtId="4" fontId="2" fillId="0" borderId="43" xfId="0" applyNumberFormat="1" applyFont="1" applyBorder="1"/>
    <xf numFmtId="0" fontId="0" fillId="0" borderId="38" xfId="0" applyBorder="1" applyAlignment="1">
      <alignment horizontal="left"/>
    </xf>
    <xf numFmtId="4" fontId="2" fillId="0" borderId="44" xfId="0" applyNumberFormat="1" applyFont="1" applyBorder="1"/>
    <xf numFmtId="0" fontId="0" fillId="0" borderId="37" xfId="0" applyBorder="1"/>
    <xf numFmtId="0" fontId="0" fillId="0" borderId="45" xfId="0" applyBorder="1" applyAlignment="1">
      <alignment horizontal="left"/>
    </xf>
    <xf numFmtId="0" fontId="0" fillId="0" borderId="45" xfId="0" applyBorder="1"/>
    <xf numFmtId="4" fontId="2" fillId="0" borderId="46" xfId="0" applyNumberFormat="1" applyFont="1" applyBorder="1"/>
    <xf numFmtId="0" fontId="28" fillId="0" borderId="18" xfId="0" applyFont="1" applyBorder="1"/>
    <xf numFmtId="0" fontId="0" fillId="0" borderId="20" xfId="0" applyBorder="1"/>
    <xf numFmtId="0" fontId="28" fillId="0" borderId="17" xfId="0" applyFont="1" applyBorder="1"/>
    <xf numFmtId="0" fontId="0" fillId="0" borderId="19" xfId="0" applyBorder="1"/>
    <xf numFmtId="0" fontId="0" fillId="0" borderId="32" xfId="0" applyBorder="1" applyAlignment="1">
      <alignment horizontal="left"/>
    </xf>
    <xf numFmtId="0" fontId="0" fillId="0" borderId="32" xfId="0" applyBorder="1"/>
    <xf numFmtId="4" fontId="2" fillId="0" borderId="47" xfId="0" applyNumberFormat="1" applyFont="1" applyBorder="1"/>
    <xf numFmtId="4" fontId="2" fillId="0" borderId="41" xfId="0" applyNumberFormat="1" applyFont="1" applyBorder="1" applyAlignment="1">
      <alignment horizontal="right"/>
    </xf>
    <xf numFmtId="4" fontId="2" fillId="0" borderId="43" xfId="0" applyNumberFormat="1" applyFont="1" applyBorder="1" applyAlignment="1">
      <alignment horizontal="right"/>
    </xf>
    <xf numFmtId="4" fontId="2" fillId="0" borderId="42" xfId="0" applyNumberFormat="1" applyFont="1" applyBorder="1" applyAlignment="1">
      <alignment horizontal="right"/>
    </xf>
    <xf numFmtId="0" fontId="0" fillId="0" borderId="19" xfId="0" applyBorder="1" applyAlignment="1">
      <alignment horizontal="left"/>
    </xf>
    <xf numFmtId="4" fontId="2" fillId="10" borderId="0" xfId="0" applyNumberFormat="1" applyFont="1" applyFill="1" applyBorder="1"/>
    <xf numFmtId="4" fontId="2" fillId="0" borderId="0" xfId="0" applyNumberFormat="1" applyFont="1" applyFill="1"/>
    <xf numFmtId="4" fontId="2" fillId="0" borderId="17" xfId="0" applyNumberFormat="1" applyFont="1" applyFill="1" applyBorder="1"/>
    <xf numFmtId="0" fontId="0" fillId="3" borderId="5" xfId="0" applyFill="1" applyBorder="1" applyAlignment="1">
      <alignment vertical="center"/>
    </xf>
    <xf numFmtId="0" fontId="4" fillId="0" borderId="48" xfId="0" applyFont="1" applyFill="1" applyBorder="1" applyAlignment="1">
      <alignment vertical="center"/>
    </xf>
    <xf numFmtId="0" fontId="2" fillId="0" borderId="13" xfId="0" applyFont="1" applyBorder="1"/>
    <xf numFmtId="0" fontId="0" fillId="0" borderId="13" xfId="0" applyFont="1" applyBorder="1"/>
    <xf numFmtId="0" fontId="66" fillId="0" borderId="0" xfId="0" applyFont="1"/>
    <xf numFmtId="4" fontId="66" fillId="0" borderId="0" xfId="0" applyNumberFormat="1" applyFont="1"/>
    <xf numFmtId="4" fontId="66" fillId="0" borderId="17" xfId="0" applyNumberFormat="1" applyFont="1" applyBorder="1"/>
    <xf numFmtId="4" fontId="66" fillId="0" borderId="29" xfId="0" applyNumberFormat="1" applyFont="1" applyBorder="1"/>
    <xf numFmtId="0" fontId="66" fillId="0" borderId="29" xfId="0" applyFont="1" applyBorder="1"/>
    <xf numFmtId="4" fontId="67" fillId="0" borderId="29" xfId="0" applyNumberFormat="1" applyFont="1" applyBorder="1"/>
    <xf numFmtId="4" fontId="66" fillId="0" borderId="0" xfId="0" applyNumberFormat="1" applyFont="1" applyFill="1"/>
    <xf numFmtId="4" fontId="66" fillId="0" borderId="38" xfId="0" applyNumberFormat="1" applyFont="1" applyBorder="1"/>
    <xf numFmtId="4" fontId="66" fillId="0" borderId="25" xfId="0" applyNumberFormat="1" applyFont="1" applyFill="1" applyBorder="1"/>
    <xf numFmtId="0" fontId="66" fillId="0" borderId="25" xfId="0" applyFont="1" applyBorder="1"/>
    <xf numFmtId="0" fontId="66" fillId="0" borderId="18" xfId="0" applyFont="1" applyBorder="1"/>
    <xf numFmtId="4" fontId="66" fillId="0" borderId="18" xfId="0" applyNumberFormat="1" applyFont="1" applyFill="1" applyBorder="1"/>
    <xf numFmtId="0" fontId="66" fillId="0" borderId="17" xfId="0" applyFont="1" applyBorder="1"/>
    <xf numFmtId="4" fontId="66" fillId="0" borderId="17" xfId="0" applyNumberFormat="1" applyFont="1" applyFill="1" applyBorder="1"/>
    <xf numFmtId="4" fontId="66" fillId="0" borderId="38" xfId="0" applyNumberFormat="1" applyFont="1" applyFill="1" applyBorder="1"/>
    <xf numFmtId="0" fontId="66" fillId="0" borderId="45" xfId="0" applyFont="1" applyBorder="1"/>
    <xf numFmtId="4" fontId="66" fillId="0" borderId="45" xfId="0" applyNumberFormat="1" applyFont="1" applyFill="1" applyBorder="1"/>
    <xf numFmtId="4" fontId="66" fillId="0" borderId="32" xfId="0" applyNumberFormat="1" applyFont="1" applyBorder="1"/>
    <xf numFmtId="4" fontId="66" fillId="0" borderId="32" xfId="0" applyNumberFormat="1" applyFont="1" applyFill="1" applyBorder="1"/>
    <xf numFmtId="4" fontId="68" fillId="10" borderId="0" xfId="0" applyNumberFormat="1" applyFont="1" applyFill="1"/>
    <xf numFmtId="0" fontId="0" fillId="3" borderId="4" xfId="0" applyFill="1" applyBorder="1"/>
    <xf numFmtId="165" fontId="18" fillId="0" borderId="4" xfId="0" applyNumberFormat="1" applyFont="1" applyFill="1" applyBorder="1" applyAlignment="1"/>
    <xf numFmtId="4" fontId="18" fillId="7" borderId="4" xfId="0" applyNumberFormat="1" applyFont="1" applyFill="1" applyBorder="1" applyAlignment="1">
      <alignment vertical="center"/>
    </xf>
    <xf numFmtId="4" fontId="18" fillId="8" borderId="4" xfId="0" applyNumberFormat="1" applyFont="1" applyFill="1" applyBorder="1" applyAlignment="1">
      <alignment vertical="center"/>
    </xf>
    <xf numFmtId="165" fontId="18" fillId="0" borderId="5" xfId="0" applyNumberFormat="1" applyFont="1" applyFill="1" applyBorder="1" applyAlignment="1"/>
    <xf numFmtId="4" fontId="18" fillId="3" borderId="4" xfId="0" applyNumberFormat="1" applyFont="1" applyFill="1" applyBorder="1"/>
    <xf numFmtId="4" fontId="18" fillId="3" borderId="5" xfId="0" applyNumberFormat="1" applyFont="1" applyFill="1" applyBorder="1"/>
    <xf numFmtId="4" fontId="18" fillId="3" borderId="7" xfId="0" applyNumberFormat="1" applyFont="1" applyFill="1" applyBorder="1"/>
    <xf numFmtId="4" fontId="0" fillId="3" borderId="2" xfId="0" applyNumberFormat="1" applyFont="1" applyFill="1" applyBorder="1"/>
    <xf numFmtId="4" fontId="18" fillId="3" borderId="4" xfId="0" applyNumberFormat="1" applyFont="1" applyFill="1" applyBorder="1" applyAlignment="1">
      <alignment vertical="center"/>
    </xf>
    <xf numFmtId="4" fontId="18" fillId="3" borderId="15" xfId="0" applyNumberFormat="1" applyFont="1" applyFill="1" applyBorder="1"/>
    <xf numFmtId="4" fontId="18" fillId="3" borderId="2" xfId="0" applyNumberFormat="1" applyFont="1" applyFill="1" applyBorder="1"/>
    <xf numFmtId="4" fontId="18" fillId="3" borderId="13" xfId="0" applyNumberFormat="1" applyFont="1" applyFill="1" applyBorder="1"/>
    <xf numFmtId="4" fontId="18" fillId="0" borderId="2" xfId="0" applyNumberFormat="1" applyFont="1" applyFill="1" applyBorder="1" applyAlignment="1">
      <alignment vertical="center"/>
    </xf>
    <xf numFmtId="4" fontId="18" fillId="3" borderId="2" xfId="0" applyNumberFormat="1" applyFont="1" applyFill="1" applyBorder="1" applyAlignment="1">
      <alignment vertical="center"/>
    </xf>
    <xf numFmtId="4" fontId="18" fillId="3" borderId="22" xfId="0" applyNumberFormat="1" applyFont="1" applyFill="1" applyBorder="1"/>
    <xf numFmtId="4" fontId="0" fillId="3" borderId="2" xfId="0" applyNumberFormat="1" applyFont="1" applyFill="1" applyBorder="1" applyAlignment="1">
      <alignment vertical="center"/>
    </xf>
    <xf numFmtId="4" fontId="0" fillId="0" borderId="2" xfId="0" applyNumberFormat="1" applyFont="1" applyBorder="1" applyAlignment="1">
      <alignment shrinkToFit="1"/>
    </xf>
    <xf numFmtId="4" fontId="0" fillId="0" borderId="2" xfId="0" applyNumberFormat="1" applyFont="1" applyFill="1" applyBorder="1" applyAlignment="1">
      <alignment vertical="center"/>
    </xf>
    <xf numFmtId="4" fontId="0" fillId="5" borderId="3" xfId="0" applyNumberFormat="1" applyFont="1" applyFill="1" applyBorder="1" applyAlignment="1">
      <alignment vertical="center"/>
    </xf>
    <xf numFmtId="4" fontId="0" fillId="0" borderId="3" xfId="0" applyNumberFormat="1" applyFont="1" applyFill="1" applyBorder="1" applyAlignment="1">
      <alignment vertical="center"/>
    </xf>
    <xf numFmtId="4" fontId="64" fillId="0" borderId="2" xfId="0" applyNumberFormat="1" applyFont="1" applyBorder="1" applyAlignment="1">
      <alignment vertical="center"/>
    </xf>
    <xf numFmtId="4" fontId="0" fillId="5" borderId="5" xfId="0" applyNumberFormat="1" applyFont="1" applyFill="1" applyBorder="1" applyAlignment="1">
      <alignment vertical="center"/>
    </xf>
    <xf numFmtId="4" fontId="57" fillId="3" borderId="2" xfId="0" applyNumberFormat="1" applyFont="1" applyFill="1" applyBorder="1" applyAlignment="1">
      <alignment vertical="center"/>
    </xf>
    <xf numFmtId="4" fontId="9" fillId="5" borderId="5" xfId="0" applyNumberFormat="1" applyFont="1" applyFill="1" applyBorder="1" applyAlignment="1">
      <alignment vertical="center" shrinkToFit="1"/>
    </xf>
    <xf numFmtId="4" fontId="0" fillId="5" borderId="4" xfId="0" applyNumberFormat="1" applyFont="1" applyFill="1" applyBorder="1"/>
    <xf numFmtId="4" fontId="9" fillId="0" borderId="5" xfId="0" applyNumberFormat="1" applyFont="1" applyBorder="1"/>
    <xf numFmtId="4" fontId="0" fillId="0" borderId="4" xfId="0" applyNumberFormat="1" applyFont="1" applyBorder="1" applyAlignment="1">
      <alignment shrinkToFit="1"/>
    </xf>
    <xf numFmtId="4" fontId="0" fillId="0" borderId="10" xfId="0" applyNumberFormat="1" applyFont="1" applyBorder="1" applyAlignment="1">
      <alignment vertical="center"/>
    </xf>
    <xf numFmtId="4" fontId="4" fillId="0" borderId="5" xfId="0" applyNumberFormat="1" applyFont="1" applyBorder="1"/>
    <xf numFmtId="4" fontId="2" fillId="0" borderId="5" xfId="0" applyNumberFormat="1" applyFont="1" applyBorder="1"/>
    <xf numFmtId="4" fontId="18" fillId="0" borderId="5" xfId="0" applyNumberFormat="1" applyFont="1" applyBorder="1"/>
    <xf numFmtId="2" fontId="2" fillId="0" borderId="5" xfId="0" applyNumberFormat="1" applyFont="1" applyBorder="1"/>
    <xf numFmtId="0" fontId="2" fillId="0" borderId="24" xfId="0" applyFont="1" applyFill="1" applyBorder="1" applyAlignment="1">
      <alignment vertical="center"/>
    </xf>
    <xf numFmtId="0" fontId="2" fillId="0" borderId="15" xfId="0" applyFont="1" applyFill="1" applyBorder="1" applyAlignment="1">
      <alignment vertical="center" wrapText="1"/>
    </xf>
    <xf numFmtId="0" fontId="2" fillId="0" borderId="11" xfId="0" applyFont="1" applyFill="1" applyBorder="1" applyAlignment="1">
      <alignment vertical="center"/>
    </xf>
    <xf numFmtId="0" fontId="2" fillId="0" borderId="6" xfId="0" applyFont="1" applyFill="1" applyBorder="1" applyAlignment="1">
      <alignment vertical="center" wrapText="1"/>
    </xf>
    <xf numFmtId="0" fontId="2" fillId="0" borderId="5" xfId="0" applyFont="1" applyFill="1" applyBorder="1" applyAlignment="1">
      <alignment vertical="center" wrapText="1"/>
    </xf>
    <xf numFmtId="4" fontId="10" fillId="0" borderId="2" xfId="0" applyNumberFormat="1" applyFont="1" applyBorder="1"/>
    <xf numFmtId="0" fontId="7" fillId="0" borderId="10" xfId="0" applyFont="1" applyFill="1" applyBorder="1" applyAlignment="1">
      <alignment horizontal="right" vertical="center" wrapText="1"/>
    </xf>
    <xf numFmtId="4" fontId="4" fillId="0" borderId="4" xfId="0" applyNumberFormat="1" applyFont="1" applyFill="1" applyBorder="1" applyAlignment="1">
      <alignment horizontal="right" vertical="center"/>
    </xf>
    <xf numFmtId="4" fontId="0" fillId="0" borderId="2" xfId="0" applyNumberFormat="1" applyFont="1" applyFill="1" applyBorder="1"/>
    <xf numFmtId="4" fontId="68" fillId="0" borderId="0" xfId="0" applyNumberFormat="1" applyFont="1" applyFill="1"/>
    <xf numFmtId="0" fontId="56" fillId="3" borderId="22" xfId="0" applyFont="1" applyFill="1" applyBorder="1"/>
    <xf numFmtId="4" fontId="2" fillId="0" borderId="2" xfId="0" applyNumberFormat="1" applyFont="1" applyBorder="1"/>
    <xf numFmtId="4" fontId="54" fillId="5" borderId="5" xfId="0" applyNumberFormat="1" applyFont="1" applyFill="1" applyBorder="1"/>
    <xf numFmtId="4" fontId="58" fillId="5" borderId="5" xfId="0" applyNumberFormat="1" applyFont="1" applyFill="1" applyBorder="1"/>
    <xf numFmtId="4" fontId="58" fillId="3" borderId="4" xfId="0" applyNumberFormat="1" applyFont="1" applyFill="1" applyBorder="1"/>
    <xf numFmtId="4" fontId="58" fillId="3" borderId="15" xfId="0" applyNumberFormat="1" applyFont="1" applyFill="1" applyBorder="1"/>
    <xf numFmtId="4" fontId="2" fillId="9" borderId="0" xfId="0" applyNumberFormat="1" applyFont="1" applyFill="1" applyBorder="1"/>
    <xf numFmtId="4" fontId="51" fillId="9" borderId="0" xfId="0" applyNumberFormat="1" applyFont="1" applyFill="1"/>
    <xf numFmtId="0" fontId="0" fillId="9" borderId="0" xfId="0" applyFill="1"/>
    <xf numFmtId="0" fontId="0" fillId="0" borderId="4" xfId="0" applyFont="1" applyFill="1" applyBorder="1" applyAlignment="1">
      <alignment vertical="top" wrapText="1"/>
    </xf>
    <xf numFmtId="0" fontId="64" fillId="0" borderId="0" xfId="0" applyFont="1" applyAlignment="1">
      <alignment wrapText="1"/>
    </xf>
    <xf numFmtId="0" fontId="7" fillId="0" borderId="5" xfId="0" applyFont="1" applyFill="1" applyBorder="1" applyAlignment="1">
      <alignment vertical="center"/>
    </xf>
    <xf numFmtId="4" fontId="9" fillId="0" borderId="13" xfId="0" applyNumberFormat="1" applyFont="1" applyBorder="1"/>
    <xf numFmtId="0" fontId="9" fillId="0" borderId="49" xfId="0" applyFont="1" applyFill="1" applyBorder="1"/>
    <xf numFmtId="0" fontId="9" fillId="0" borderId="50" xfId="0" applyFont="1" applyFill="1" applyBorder="1"/>
    <xf numFmtId="4" fontId="60" fillId="9" borderId="0" xfId="0" applyNumberFormat="1" applyFont="1" applyFill="1" applyBorder="1" applyAlignment="1"/>
    <xf numFmtId="4" fontId="0" fillId="9" borderId="0" xfId="0" applyNumberFormat="1" applyFont="1" applyFill="1"/>
    <xf numFmtId="0" fontId="0" fillId="0" borderId="5" xfId="0" applyFont="1" applyFill="1" applyBorder="1"/>
    <xf numFmtId="4" fontId="0" fillId="0" borderId="13" xfId="0" applyNumberFormat="1" applyFont="1" applyBorder="1"/>
    <xf numFmtId="0" fontId="0" fillId="0" borderId="0" xfId="0" applyFont="1" applyAlignment="1">
      <alignment horizontal="right"/>
    </xf>
    <xf numFmtId="0" fontId="51" fillId="0" borderId="0" xfId="0" applyFont="1" applyFill="1"/>
    <xf numFmtId="4" fontId="2" fillId="0" borderId="5" xfId="0" applyNumberFormat="1" applyFont="1" applyFill="1" applyBorder="1"/>
    <xf numFmtId="0" fontId="2" fillId="0" borderId="0" xfId="0" applyFont="1" applyFill="1" applyBorder="1" applyAlignment="1">
      <alignment horizontal="center"/>
    </xf>
    <xf numFmtId="4" fontId="71" fillId="0" borderId="2" xfId="0" applyNumberFormat="1" applyFont="1" applyBorder="1" applyAlignment="1">
      <alignment vertical="center"/>
    </xf>
    <xf numFmtId="0" fontId="44" fillId="0" borderId="0" xfId="0" applyFont="1" applyAlignment="1">
      <alignment horizontal="center"/>
    </xf>
    <xf numFmtId="166" fontId="0" fillId="0" borderId="0" xfId="0" applyNumberFormat="1" applyFont="1" applyFill="1" applyAlignment="1">
      <alignment horizontal="left"/>
    </xf>
    <xf numFmtId="4" fontId="0" fillId="0" borderId="0" xfId="0" applyNumberFormat="1" applyFont="1" applyFill="1" applyAlignment="1">
      <alignment horizontal="right"/>
    </xf>
    <xf numFmtId="4" fontId="0" fillId="0" borderId="0" xfId="0" applyNumberFormat="1" applyFont="1" applyAlignment="1">
      <alignment horizontal="right"/>
    </xf>
    <xf numFmtId="4" fontId="0" fillId="0" borderId="0" xfId="0" applyNumberFormat="1" applyFont="1" applyAlignment="1"/>
  </cellXfs>
  <cellStyles count="4">
    <cellStyle name="Normální" xfId="0" builtinId="0"/>
    <cellStyle name="normální 2" xfId="2"/>
    <cellStyle name="Normální 2 2 2" xfId="3"/>
    <cellStyle name="Poznámka"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9.9978637043366805E-2"/>
    <pageSetUpPr fitToPage="1"/>
  </sheetPr>
  <dimension ref="A1:ABG804"/>
  <sheetViews>
    <sheetView topLeftCell="A256" zoomScaleNormal="100" zoomScaleSheetLayoutView="80" workbookViewId="0">
      <pane ySplit="1785" topLeftCell="A411" activePane="bottomLeft"/>
      <selection activeCell="G258" sqref="G258:I258"/>
      <selection pane="bottomLeft" activeCell="J416" sqref="J416"/>
    </sheetView>
  </sheetViews>
  <sheetFormatPr defaultRowHeight="12.75" x14ac:dyDescent="0.2"/>
  <cols>
    <col min="1" max="1" width="11.85546875" style="1" customWidth="1"/>
    <col min="2" max="2" width="92.7109375" style="1" customWidth="1"/>
    <col min="3" max="4" width="23.140625" style="1" bestFit="1" customWidth="1"/>
    <col min="5" max="5" width="24" style="1" customWidth="1"/>
    <col min="6" max="6" width="18.7109375" style="2" hidden="1" customWidth="1"/>
    <col min="7" max="8" width="10.5703125" style="1" customWidth="1"/>
    <col min="9" max="9" width="12.140625" style="1" customWidth="1"/>
    <col min="10" max="10" width="15.7109375" style="1" customWidth="1"/>
    <col min="11" max="16384" width="9.140625" style="1"/>
  </cols>
  <sheetData>
    <row r="1" spans="1:11" s="375" customFormat="1" ht="50.1" customHeight="1" thickBot="1" x14ac:dyDescent="0.25">
      <c r="A1" s="469" t="s">
        <v>786</v>
      </c>
      <c r="B1" s="470" t="s">
        <v>783</v>
      </c>
      <c r="C1" s="471" t="s">
        <v>780</v>
      </c>
      <c r="D1" s="471" t="s">
        <v>794</v>
      </c>
      <c r="E1" s="471" t="s">
        <v>781</v>
      </c>
      <c r="F1" s="472" t="s">
        <v>776</v>
      </c>
      <c r="G1" s="473" t="s">
        <v>777</v>
      </c>
      <c r="H1" s="473" t="s">
        <v>778</v>
      </c>
      <c r="I1" s="474" t="s">
        <v>782</v>
      </c>
      <c r="J1" s="465" t="s">
        <v>779</v>
      </c>
    </row>
    <row r="2" spans="1:11" s="394" customFormat="1" ht="18" customHeight="1" x14ac:dyDescent="0.25">
      <c r="A2" s="447"/>
      <c r="B2" s="455" t="s">
        <v>775</v>
      </c>
      <c r="C2" s="466"/>
      <c r="D2" s="466"/>
      <c r="E2" s="468"/>
      <c r="F2" s="467"/>
      <c r="G2" s="466"/>
      <c r="H2" s="466"/>
      <c r="I2" s="466"/>
      <c r="J2" s="465"/>
    </row>
    <row r="3" spans="1:11" s="396" customFormat="1" ht="15.75" customHeight="1" x14ac:dyDescent="0.2">
      <c r="A3" s="464"/>
      <c r="B3" s="417" t="s">
        <v>774</v>
      </c>
      <c r="C3" s="440">
        <f>C53</f>
        <v>388416000</v>
      </c>
      <c r="D3" s="440">
        <f>D53</f>
        <v>380538830</v>
      </c>
      <c r="E3" s="440">
        <f t="shared" ref="E3:I3" si="0">E53</f>
        <v>207984549.72</v>
      </c>
      <c r="F3" s="694">
        <f t="shared" si="0"/>
        <v>207984549.72000003</v>
      </c>
      <c r="G3" s="440">
        <f t="shared" si="0"/>
        <v>53.546854331438453</v>
      </c>
      <c r="H3" s="440">
        <f t="shared" si="0"/>
        <v>54.655276498327389</v>
      </c>
      <c r="I3" s="440">
        <f t="shared" si="0"/>
        <v>108.33878789851836</v>
      </c>
      <c r="J3" s="410"/>
    </row>
    <row r="4" spans="1:11" s="396" customFormat="1" ht="15.75" customHeight="1" x14ac:dyDescent="0.2">
      <c r="A4" s="463"/>
      <c r="B4" s="417" t="s">
        <v>707</v>
      </c>
      <c r="C4" s="421">
        <f>C88</f>
        <v>127407541.26000001</v>
      </c>
      <c r="D4" s="421">
        <f>D88</f>
        <v>131185258.25000001</v>
      </c>
      <c r="E4" s="421">
        <f t="shared" ref="E4:I4" si="1">E88</f>
        <v>79364493.769999996</v>
      </c>
      <c r="F4" s="695">
        <f t="shared" si="1"/>
        <v>79364493.769999996</v>
      </c>
      <c r="G4" s="421">
        <f t="shared" si="1"/>
        <v>62.291833736938088</v>
      </c>
      <c r="H4" s="421">
        <f t="shared" si="1"/>
        <v>60.498027620416707</v>
      </c>
      <c r="I4" s="421">
        <f t="shared" si="1"/>
        <v>106.05990554675004</v>
      </c>
      <c r="J4" s="410"/>
    </row>
    <row r="5" spans="1:11" s="396" customFormat="1" ht="15.75" customHeight="1" x14ac:dyDescent="0.2">
      <c r="A5" s="417"/>
      <c r="B5" s="417" t="s">
        <v>627</v>
      </c>
      <c r="C5" s="421">
        <f>C174</f>
        <v>109511899.31</v>
      </c>
      <c r="D5" s="421">
        <f>D174</f>
        <v>109458329.31</v>
      </c>
      <c r="E5" s="421">
        <f t="shared" ref="E5:I5" si="2">E174</f>
        <v>32140048.359999999</v>
      </c>
      <c r="F5" s="695">
        <f t="shared" si="2"/>
        <v>32140048.359999999</v>
      </c>
      <c r="G5" s="421">
        <f t="shared" si="2"/>
        <v>29.348453056247152</v>
      </c>
      <c r="H5" s="421">
        <f t="shared" si="2"/>
        <v>29.362816482403332</v>
      </c>
      <c r="I5" s="421">
        <f t="shared" si="2"/>
        <v>241.13848615691981</v>
      </c>
      <c r="J5" s="410"/>
    </row>
    <row r="6" spans="1:11" s="396" customFormat="1" ht="15.75" customHeight="1" x14ac:dyDescent="0.2">
      <c r="A6" s="417"/>
      <c r="B6" s="417" t="s">
        <v>773</v>
      </c>
      <c r="C6" s="421">
        <f>C190</f>
        <v>81229895.713500008</v>
      </c>
      <c r="D6" s="421">
        <f>D190</f>
        <v>101584962.39350002</v>
      </c>
      <c r="E6" s="421">
        <f t="shared" ref="E6:I6" si="3">E190</f>
        <v>51299363.049999997</v>
      </c>
      <c r="F6" s="695">
        <f t="shared" si="3"/>
        <v>51299363.049999997</v>
      </c>
      <c r="G6" s="421">
        <f t="shared" si="3"/>
        <v>63.153304087615979</v>
      </c>
      <c r="H6" s="421">
        <f t="shared" si="3"/>
        <v>50.498973313871517</v>
      </c>
      <c r="I6" s="421">
        <f t="shared" si="3"/>
        <v>125.06966884565188</v>
      </c>
      <c r="J6" s="410"/>
    </row>
    <row r="7" spans="1:11" s="394" customFormat="1" ht="18" x14ac:dyDescent="0.25">
      <c r="A7" s="462"/>
      <c r="B7" s="461" t="s">
        <v>572</v>
      </c>
      <c r="C7" s="460">
        <f>C247</f>
        <v>706565336.28349996</v>
      </c>
      <c r="D7" s="460">
        <f>D247</f>
        <v>722767379.95349991</v>
      </c>
      <c r="E7" s="460">
        <f t="shared" ref="E7:I7" si="4">E247</f>
        <v>370788454.89999998</v>
      </c>
      <c r="F7" s="487">
        <f t="shared" si="4"/>
        <v>370788454.90000004</v>
      </c>
      <c r="G7" s="460">
        <f t="shared" si="4"/>
        <v>52.477589241828596</v>
      </c>
      <c r="H7" s="460">
        <f t="shared" si="4"/>
        <v>51.301216018334294</v>
      </c>
      <c r="I7" s="460">
        <f t="shared" si="4"/>
        <v>115.45609772369086</v>
      </c>
      <c r="J7" s="452"/>
    </row>
    <row r="8" spans="1:11" s="396" customFormat="1" ht="15.75" thickBot="1" x14ac:dyDescent="0.25">
      <c r="A8" s="459"/>
      <c r="B8" s="459" t="s">
        <v>571</v>
      </c>
      <c r="C8" s="419">
        <f>C249</f>
        <v>195741180.47</v>
      </c>
      <c r="D8" s="419">
        <f>D249</f>
        <v>188545980.47</v>
      </c>
      <c r="E8" s="419">
        <f t="shared" ref="E8:I8" si="5">E249</f>
        <v>-95621496.340000004</v>
      </c>
      <c r="F8" s="696">
        <f t="shared" si="5"/>
        <v>-95621496.340000004</v>
      </c>
      <c r="G8" s="419">
        <f t="shared" si="5"/>
        <v>-48.850985832618548</v>
      </c>
      <c r="H8" s="419">
        <f t="shared" si="5"/>
        <v>-50.715213393379429</v>
      </c>
      <c r="I8" s="419">
        <f t="shared" si="5"/>
        <v>269.03334553280962</v>
      </c>
      <c r="J8" s="448"/>
    </row>
    <row r="9" spans="1:11" s="456" customFormat="1" ht="24" thickBot="1" x14ac:dyDescent="0.4">
      <c r="A9" s="458"/>
      <c r="B9" s="324" t="s">
        <v>563</v>
      </c>
      <c r="C9" s="457">
        <f>C258</f>
        <v>902306516.75349998</v>
      </c>
      <c r="D9" s="457">
        <f>D258</f>
        <v>911313360.42349994</v>
      </c>
      <c r="E9" s="557">
        <f t="shared" ref="E9:I9" si="6">E258</f>
        <v>275166958.56</v>
      </c>
      <c r="F9" s="730">
        <f t="shared" si="6"/>
        <v>275166958.55999994</v>
      </c>
      <c r="G9" s="457">
        <f t="shared" si="6"/>
        <v>30.495951591932535</v>
      </c>
      <c r="H9" s="457">
        <f t="shared" si="6"/>
        <v>30.194548934531817</v>
      </c>
      <c r="I9" s="457">
        <f t="shared" si="6"/>
        <v>96.344134545721943</v>
      </c>
      <c r="J9" s="580"/>
    </row>
    <row r="10" spans="1:11" s="394" customFormat="1" ht="18" x14ac:dyDescent="0.25">
      <c r="A10" s="447"/>
      <c r="B10" s="455" t="s">
        <v>772</v>
      </c>
      <c r="C10" s="453"/>
      <c r="D10" s="453"/>
      <c r="E10" s="445"/>
      <c r="F10" s="690"/>
      <c r="G10" s="475"/>
      <c r="H10" s="475"/>
      <c r="I10" s="475"/>
      <c r="J10" s="452">
        <f>SUM(J11:J12)</f>
        <v>285608418.05000001</v>
      </c>
      <c r="K10" s="452"/>
    </row>
    <row r="11" spans="1:11" s="394" customFormat="1" ht="18" x14ac:dyDescent="0.25">
      <c r="A11" s="447"/>
      <c r="B11" s="451" t="s">
        <v>771</v>
      </c>
      <c r="C11" s="450">
        <f>C50-C12</f>
        <v>640650917.12</v>
      </c>
      <c r="D11" s="450">
        <f>D50-D12</f>
        <v>705988055.4599998</v>
      </c>
      <c r="E11" s="476">
        <v>254918654.38</v>
      </c>
      <c r="F11" s="691"/>
      <c r="G11" s="478">
        <f>E11/C11*100</f>
        <v>39.790570428895727</v>
      </c>
      <c r="H11" s="478">
        <f>E11/D11*100</f>
        <v>36.108069025885001</v>
      </c>
      <c r="I11" s="478">
        <f>E11/J11*100</f>
        <v>96.065173722711279</v>
      </c>
      <c r="J11" s="448">
        <v>265360113.87</v>
      </c>
      <c r="K11" s="448"/>
    </row>
    <row r="12" spans="1:11" s="394" customFormat="1" ht="18.75" customHeight="1" x14ac:dyDescent="0.25">
      <c r="A12" s="447"/>
      <c r="B12" s="451" t="s">
        <v>770</v>
      </c>
      <c r="C12" s="449">
        <v>261655599.63</v>
      </c>
      <c r="D12" s="449">
        <v>205325304.96000001</v>
      </c>
      <c r="E12" s="476">
        <v>20248304.18</v>
      </c>
      <c r="F12" s="692"/>
      <c r="G12" s="478">
        <f>E12/C12*100</f>
        <v>7.7385327157655226</v>
      </c>
      <c r="H12" s="478">
        <f>E12/D12*100</f>
        <v>9.8615726804568133</v>
      </c>
      <c r="I12" s="478">
        <f>E12/J12*100</f>
        <v>100</v>
      </c>
      <c r="J12" s="448">
        <v>20248304.18</v>
      </c>
      <c r="K12" s="448"/>
    </row>
    <row r="13" spans="1:11" s="394" customFormat="1" ht="15.75" customHeight="1" x14ac:dyDescent="0.25">
      <c r="A13" s="447"/>
      <c r="B13" s="446" t="s">
        <v>769</v>
      </c>
      <c r="C13" s="443"/>
      <c r="D13" s="443"/>
      <c r="E13" s="443"/>
      <c r="F13" s="693"/>
      <c r="G13" s="443"/>
      <c r="H13" s="443"/>
      <c r="I13" s="443"/>
    </row>
    <row r="14" spans="1:11" s="394" customFormat="1" ht="18.75" x14ac:dyDescent="0.25">
      <c r="A14" s="442"/>
      <c r="B14" s="441" t="s">
        <v>768</v>
      </c>
      <c r="C14" s="438">
        <f>C261</f>
        <v>47057788.329999998</v>
      </c>
      <c r="D14" s="438">
        <f>D261</f>
        <v>48392506.829999998</v>
      </c>
      <c r="E14" s="438">
        <f t="shared" ref="E14:I14" si="7">E261</f>
        <v>19186396.960000001</v>
      </c>
      <c r="F14" s="698">
        <f t="shared" si="7"/>
        <v>19186396.960000001</v>
      </c>
      <c r="G14" s="438">
        <f t="shared" si="7"/>
        <v>40.771990441736087</v>
      </c>
      <c r="H14" s="438">
        <f t="shared" si="7"/>
        <v>39.647454155249022</v>
      </c>
      <c r="I14" s="438">
        <f t="shared" si="7"/>
        <v>114.79119315680879</v>
      </c>
    </row>
    <row r="15" spans="1:11" s="396" customFormat="1" ht="15.75" customHeight="1" x14ac:dyDescent="0.25">
      <c r="A15" s="427"/>
      <c r="B15" s="437" t="s">
        <v>767</v>
      </c>
      <c r="C15" s="421">
        <f>C262</f>
        <v>1985000</v>
      </c>
      <c r="D15" s="421">
        <f>D262</f>
        <v>1985000</v>
      </c>
      <c r="E15" s="421">
        <f t="shared" ref="E15" si="8">E267</f>
        <v>457567.67</v>
      </c>
      <c r="F15" s="695"/>
      <c r="G15" s="421">
        <f t="shared" ref="G15:I15" si="9">G267</f>
        <v>31.127052380952382</v>
      </c>
      <c r="H15" s="421">
        <f t="shared" si="9"/>
        <v>31.127052380952382</v>
      </c>
      <c r="I15" s="421">
        <f t="shared" si="9"/>
        <v>205.56521332065051</v>
      </c>
      <c r="J15" s="410"/>
    </row>
    <row r="16" spans="1:11" s="396" customFormat="1" ht="15.75" customHeight="1" x14ac:dyDescent="0.2">
      <c r="A16" s="417"/>
      <c r="B16" s="414" t="s">
        <v>766</v>
      </c>
      <c r="C16" s="421">
        <f>C275</f>
        <v>27050000</v>
      </c>
      <c r="D16" s="421">
        <f>D275</f>
        <v>28337618.5</v>
      </c>
      <c r="E16" s="421">
        <f t="shared" ref="E16:I16" si="10">E275</f>
        <v>12393432.960000001</v>
      </c>
      <c r="F16" s="695">
        <f t="shared" si="10"/>
        <v>12393432.960000001</v>
      </c>
      <c r="G16" s="421">
        <f t="shared" si="10"/>
        <v>45.816757707948248</v>
      </c>
      <c r="H16" s="421">
        <f t="shared" si="10"/>
        <v>43.734913574335827</v>
      </c>
      <c r="I16" s="421">
        <f t="shared" si="10"/>
        <v>119.72906621135004</v>
      </c>
      <c r="J16" s="410"/>
    </row>
    <row r="17" spans="1:81" s="396" customFormat="1" ht="15.75" customHeight="1" x14ac:dyDescent="0.2">
      <c r="A17" s="414"/>
      <c r="B17" s="414" t="s">
        <v>765</v>
      </c>
      <c r="C17" s="440">
        <f>C291</f>
        <v>2334000</v>
      </c>
      <c r="D17" s="440">
        <f>D291</f>
        <v>2334000</v>
      </c>
      <c r="E17" s="440">
        <f t="shared" ref="E17:I17" si="11">E291</f>
        <v>1315668</v>
      </c>
      <c r="F17" s="694">
        <f t="shared" si="11"/>
        <v>0</v>
      </c>
      <c r="G17" s="440">
        <f t="shared" si="11"/>
        <v>56.369665809768634</v>
      </c>
      <c r="H17" s="440">
        <f t="shared" si="11"/>
        <v>56.369665809768634</v>
      </c>
      <c r="I17" s="440">
        <f t="shared" si="11"/>
        <v>879.19216867107582</v>
      </c>
      <c r="J17" s="410"/>
    </row>
    <row r="18" spans="1:81" s="396" customFormat="1" ht="15.75" customHeight="1" thickBot="1" x14ac:dyDescent="0.25">
      <c r="A18" s="420"/>
      <c r="B18" s="420" t="s">
        <v>764</v>
      </c>
      <c r="C18" s="419">
        <f>C297</f>
        <v>15688788.33</v>
      </c>
      <c r="D18" s="419">
        <f>D297</f>
        <v>15735888.33</v>
      </c>
      <c r="E18" s="419">
        <f t="shared" ref="E18:I18" si="12">E297</f>
        <v>5019728.33</v>
      </c>
      <c r="F18" s="696">
        <f t="shared" si="12"/>
        <v>5019728.3299999991</v>
      </c>
      <c r="G18" s="419">
        <f t="shared" si="12"/>
        <v>31.995640609168703</v>
      </c>
      <c r="H18" s="419">
        <f t="shared" si="12"/>
        <v>31.899872601599732</v>
      </c>
      <c r="I18" s="419">
        <f t="shared" si="12"/>
        <v>83.791949181351839</v>
      </c>
      <c r="J18" s="410"/>
    </row>
    <row r="19" spans="1:81" s="396" customFormat="1" ht="18.75" x14ac:dyDescent="0.25">
      <c r="A19" s="414"/>
      <c r="B19" s="439" t="s">
        <v>763</v>
      </c>
      <c r="C19" s="438">
        <f>C322</f>
        <v>114484000</v>
      </c>
      <c r="D19" s="438">
        <f>D322</f>
        <v>98053500</v>
      </c>
      <c r="E19" s="438">
        <f t="shared" ref="E19:I19" si="13">E322</f>
        <v>3247009.54</v>
      </c>
      <c r="F19" s="698">
        <f t="shared" si="13"/>
        <v>3247009.54</v>
      </c>
      <c r="G19" s="438">
        <f t="shared" si="13"/>
        <v>2.836212518779917</v>
      </c>
      <c r="H19" s="438">
        <f t="shared" si="13"/>
        <v>3.3114672500216722</v>
      </c>
      <c r="I19" s="438">
        <f t="shared" si="13"/>
        <v>153.902466648303</v>
      </c>
      <c r="J19" s="394"/>
    </row>
    <row r="20" spans="1:81" s="396" customFormat="1" ht="15.75" customHeight="1" x14ac:dyDescent="0.2">
      <c r="A20" s="417"/>
      <c r="B20" s="437" t="s">
        <v>762</v>
      </c>
      <c r="C20" s="421">
        <f>C323</f>
        <v>5530000</v>
      </c>
      <c r="D20" s="421">
        <f>D323</f>
        <v>5530000</v>
      </c>
      <c r="E20" s="421">
        <f t="shared" ref="E20:I20" si="14">E323</f>
        <v>27420</v>
      </c>
      <c r="F20" s="695">
        <f t="shared" si="14"/>
        <v>27420</v>
      </c>
      <c r="G20" s="421">
        <f t="shared" si="14"/>
        <v>0.49584086799276672</v>
      </c>
      <c r="H20" s="421">
        <f t="shared" si="14"/>
        <v>0.49584086799276672</v>
      </c>
      <c r="I20" s="421">
        <f t="shared" si="14"/>
        <v>177.61368052856588</v>
      </c>
      <c r="J20" s="410"/>
    </row>
    <row r="21" spans="1:81" s="396" customFormat="1" ht="15.75" customHeight="1" x14ac:dyDescent="0.2">
      <c r="A21" s="417"/>
      <c r="B21" s="414" t="s">
        <v>761</v>
      </c>
      <c r="C21" s="421">
        <f>C333</f>
        <v>38460500</v>
      </c>
      <c r="D21" s="421">
        <f>D333</f>
        <v>38030000</v>
      </c>
      <c r="E21" s="421">
        <f t="shared" ref="E21:I21" si="15">E333</f>
        <v>1276443.27</v>
      </c>
      <c r="F21" s="695">
        <f t="shared" si="15"/>
        <v>1276443.27</v>
      </c>
      <c r="G21" s="421">
        <f t="shared" si="15"/>
        <v>3.3188421107369899</v>
      </c>
      <c r="H21" s="421">
        <f t="shared" si="15"/>
        <v>3.3564114383381543</v>
      </c>
      <c r="I21" s="421">
        <f t="shared" si="15"/>
        <v>218.21658099169611</v>
      </c>
      <c r="J21" s="410"/>
    </row>
    <row r="22" spans="1:81" s="396" customFormat="1" ht="15.75" customHeight="1" x14ac:dyDescent="0.2">
      <c r="A22" s="417"/>
      <c r="B22" s="414" t="s">
        <v>760</v>
      </c>
      <c r="C22" s="421">
        <f>C381</f>
        <v>6295000</v>
      </c>
      <c r="D22" s="421">
        <f>D381</f>
        <v>5595000</v>
      </c>
      <c r="E22" s="421">
        <f t="shared" ref="E22:I22" si="16">E381</f>
        <v>586434.25</v>
      </c>
      <c r="F22" s="695">
        <f t="shared" si="16"/>
        <v>586434.25</v>
      </c>
      <c r="G22" s="421">
        <f t="shared" si="16"/>
        <v>9.3158737092930899</v>
      </c>
      <c r="H22" s="421">
        <f t="shared" si="16"/>
        <v>10.481398570151921</v>
      </c>
      <c r="I22" s="421">
        <f t="shared" si="16"/>
        <v>54.46150671180294</v>
      </c>
      <c r="J22" s="410"/>
    </row>
    <row r="23" spans="1:81" s="396" customFormat="1" ht="15.75" customHeight="1" x14ac:dyDescent="0.2">
      <c r="A23" s="417"/>
      <c r="B23" s="417" t="s">
        <v>759</v>
      </c>
      <c r="C23" s="421">
        <f>C391</f>
        <v>63726000</v>
      </c>
      <c r="D23" s="421">
        <f>D391</f>
        <v>48726000</v>
      </c>
      <c r="E23" s="421">
        <f t="shared" ref="E23:I23" si="17">E391</f>
        <v>1284037.02</v>
      </c>
      <c r="F23" s="695">
        <f t="shared" si="17"/>
        <v>1284037.02</v>
      </c>
      <c r="G23" s="421">
        <f t="shared" si="17"/>
        <v>2.0149342811411355</v>
      </c>
      <c r="H23" s="421">
        <f t="shared" si="17"/>
        <v>2.6352194311045438</v>
      </c>
      <c r="I23" s="421">
        <f t="shared" si="17"/>
        <v>391.93358614355708</v>
      </c>
      <c r="J23" s="410"/>
    </row>
    <row r="24" spans="1:81" s="396" customFormat="1" ht="15.75" customHeight="1" thickBot="1" x14ac:dyDescent="0.25">
      <c r="A24" s="399"/>
      <c r="B24" s="402" t="s">
        <v>758</v>
      </c>
      <c r="C24" s="400">
        <f>C409</f>
        <v>472500</v>
      </c>
      <c r="D24" s="400">
        <f>D409</f>
        <v>172500</v>
      </c>
      <c r="E24" s="400">
        <f t="shared" ref="E24:I24" si="18">E409</f>
        <v>72675</v>
      </c>
      <c r="F24" s="699">
        <f t="shared" si="18"/>
        <v>72675</v>
      </c>
      <c r="G24" s="400">
        <f t="shared" si="18"/>
        <v>15.380952380952381</v>
      </c>
      <c r="H24" s="400">
        <f t="shared" si="18"/>
        <v>42.130434782608695</v>
      </c>
      <c r="I24" s="400">
        <f t="shared" si="18"/>
        <v>69.214285714285722</v>
      </c>
      <c r="J24" s="410"/>
    </row>
    <row r="25" spans="1:81" s="396" customFormat="1" ht="19.5" thickBot="1" x14ac:dyDescent="0.35">
      <c r="A25" s="425"/>
      <c r="B25" s="408" t="s">
        <v>338</v>
      </c>
      <c r="C25" s="407">
        <f>C414</f>
        <v>3640000</v>
      </c>
      <c r="D25" s="407">
        <f>D414</f>
        <v>2714871</v>
      </c>
      <c r="E25" s="407">
        <f t="shared" ref="E25:I25" si="19">E414</f>
        <v>2636838</v>
      </c>
      <c r="F25" s="700">
        <f t="shared" si="19"/>
        <v>2636838</v>
      </c>
      <c r="G25" s="407">
        <f t="shared" si="19"/>
        <v>72.440604395604396</v>
      </c>
      <c r="H25" s="407">
        <f t="shared" si="19"/>
        <v>97.125719785580984</v>
      </c>
      <c r="I25" s="407">
        <f t="shared" si="19"/>
        <v>89.897148888643414</v>
      </c>
    </row>
    <row r="26" spans="1:81" s="434" customFormat="1" ht="19.5" thickBot="1" x14ac:dyDescent="0.35">
      <c r="A26" s="420"/>
      <c r="B26" s="436" t="s">
        <v>757</v>
      </c>
      <c r="C26" s="435">
        <f>C419</f>
        <v>10752956</v>
      </c>
      <c r="D26" s="435">
        <f>D419</f>
        <v>10852956</v>
      </c>
      <c r="E26" s="435">
        <f t="shared" ref="E26:I26" si="20">E419</f>
        <v>3288514.39</v>
      </c>
      <c r="F26" s="696">
        <f t="shared" si="20"/>
        <v>3288514.39</v>
      </c>
      <c r="G26" s="435">
        <f t="shared" si="20"/>
        <v>30.582422080030831</v>
      </c>
      <c r="H26" s="435">
        <f t="shared" si="20"/>
        <v>30.300633209975235</v>
      </c>
      <c r="I26" s="435">
        <f t="shared" si="20"/>
        <v>94.716051506389348</v>
      </c>
      <c r="J26" s="396"/>
    </row>
    <row r="27" spans="1:81" s="396" customFormat="1" ht="19.5" thickBot="1" x14ac:dyDescent="0.35">
      <c r="A27" s="425"/>
      <c r="B27" s="408" t="s">
        <v>329</v>
      </c>
      <c r="C27" s="407">
        <f>C425</f>
        <v>7038417</v>
      </c>
      <c r="D27" s="407">
        <f>D425</f>
        <v>6888417</v>
      </c>
      <c r="E27" s="407">
        <f t="shared" ref="E27:I27" si="21">E425</f>
        <v>3222352.5</v>
      </c>
      <c r="F27" s="700">
        <f t="shared" si="21"/>
        <v>3222352.5</v>
      </c>
      <c r="G27" s="407">
        <f t="shared" si="21"/>
        <v>45.782347081737271</v>
      </c>
      <c r="H27" s="407">
        <f t="shared" si="21"/>
        <v>46.779289058719876</v>
      </c>
      <c r="I27" s="407">
        <f t="shared" si="21"/>
        <v>101.0708828667367</v>
      </c>
    </row>
    <row r="28" spans="1:81" s="396" customFormat="1" ht="19.5" thickBot="1" x14ac:dyDescent="0.35">
      <c r="A28" s="399"/>
      <c r="B28" s="433" t="s">
        <v>321</v>
      </c>
      <c r="C28" s="432">
        <f>C434</f>
        <v>112000</v>
      </c>
      <c r="D28" s="432">
        <f>D434</f>
        <v>112000</v>
      </c>
      <c r="E28" s="432">
        <f t="shared" ref="E28:I28" si="22">E434</f>
        <v>10150</v>
      </c>
      <c r="F28" s="701">
        <f t="shared" si="22"/>
        <v>10150</v>
      </c>
      <c r="G28" s="432">
        <f t="shared" si="22"/>
        <v>9.0625</v>
      </c>
      <c r="H28" s="432">
        <f t="shared" si="22"/>
        <v>9.0625</v>
      </c>
      <c r="I28" s="432">
        <f t="shared" si="22"/>
        <v>39.420537517477086</v>
      </c>
      <c r="J28" s="410"/>
    </row>
    <row r="29" spans="1:81" s="429" customFormat="1" ht="19.5" thickBot="1" x14ac:dyDescent="0.3">
      <c r="A29" s="44"/>
      <c r="B29" s="431" t="s">
        <v>756</v>
      </c>
      <c r="C29" s="430">
        <f>C438</f>
        <v>500000</v>
      </c>
      <c r="D29" s="430">
        <f>D438</f>
        <v>500000</v>
      </c>
      <c r="E29" s="430">
        <f t="shared" ref="E29:I29" si="23">E438</f>
        <v>0</v>
      </c>
      <c r="F29" s="702">
        <f t="shared" si="23"/>
        <v>0</v>
      </c>
      <c r="G29" s="430">
        <f t="shared" si="23"/>
        <v>0</v>
      </c>
      <c r="H29" s="430">
        <f t="shared" si="23"/>
        <v>0</v>
      </c>
      <c r="I29" s="430">
        <f t="shared" si="23"/>
        <v>0</v>
      </c>
      <c r="J29" s="410"/>
      <c r="K29" s="396"/>
      <c r="L29" s="396"/>
      <c r="M29" s="396"/>
      <c r="N29" s="396"/>
      <c r="O29" s="396"/>
      <c r="P29" s="396"/>
      <c r="Q29" s="396"/>
      <c r="R29" s="396"/>
      <c r="S29" s="396"/>
      <c r="T29" s="396"/>
      <c r="U29" s="396"/>
      <c r="V29" s="396"/>
      <c r="W29" s="396"/>
      <c r="X29" s="396"/>
      <c r="Y29" s="396"/>
      <c r="Z29" s="396"/>
      <c r="AA29" s="396"/>
      <c r="AB29" s="396"/>
      <c r="AC29" s="396"/>
      <c r="AD29" s="396"/>
      <c r="AE29" s="396"/>
      <c r="AF29" s="396"/>
      <c r="AG29" s="396"/>
      <c r="AH29" s="396"/>
      <c r="AI29" s="396"/>
      <c r="AJ29" s="396"/>
      <c r="AK29" s="396"/>
      <c r="AL29" s="396"/>
      <c r="AM29" s="396"/>
      <c r="AN29" s="396"/>
      <c r="AO29" s="396"/>
      <c r="AP29" s="396"/>
      <c r="AQ29" s="396"/>
      <c r="AR29" s="396"/>
      <c r="AS29" s="396"/>
      <c r="AT29" s="396"/>
      <c r="AU29" s="396"/>
      <c r="AV29" s="396"/>
      <c r="AW29" s="396"/>
      <c r="AX29" s="396"/>
      <c r="AY29" s="396"/>
      <c r="AZ29" s="396"/>
      <c r="BA29" s="396"/>
      <c r="BB29" s="396"/>
      <c r="BC29" s="396"/>
      <c r="BD29" s="396"/>
      <c r="BE29" s="396"/>
      <c r="BF29" s="396"/>
      <c r="BG29" s="396"/>
      <c r="BH29" s="396"/>
      <c r="BI29" s="396"/>
      <c r="BJ29" s="396"/>
      <c r="BK29" s="396"/>
      <c r="BL29" s="396"/>
      <c r="BM29" s="396"/>
      <c r="BN29" s="396"/>
      <c r="BO29" s="396"/>
      <c r="BP29" s="396"/>
      <c r="BQ29" s="396"/>
      <c r="BR29" s="396"/>
      <c r="BS29" s="396"/>
      <c r="BT29" s="396"/>
      <c r="BU29" s="396"/>
      <c r="BV29" s="396"/>
      <c r="BW29" s="396"/>
      <c r="BX29" s="396"/>
      <c r="BY29" s="396"/>
      <c r="BZ29" s="396"/>
      <c r="CA29" s="396"/>
      <c r="CB29" s="396"/>
      <c r="CC29" s="396"/>
    </row>
    <row r="30" spans="1:81" s="396" customFormat="1" ht="18.75" x14ac:dyDescent="0.3">
      <c r="A30" s="428"/>
      <c r="B30" s="398" t="s">
        <v>316</v>
      </c>
      <c r="C30" s="397">
        <f>C441</f>
        <v>165843398.80000001</v>
      </c>
      <c r="D30" s="397">
        <f>D441</f>
        <v>169653408.5</v>
      </c>
      <c r="E30" s="397">
        <f t="shared" ref="E30:I30" si="24">E441</f>
        <v>58469693.700000003</v>
      </c>
      <c r="F30" s="694">
        <f t="shared" si="24"/>
        <v>58469693.700000003</v>
      </c>
      <c r="G30" s="397">
        <f t="shared" si="24"/>
        <v>35.25596684768378</v>
      </c>
      <c r="H30" s="397">
        <f t="shared" si="24"/>
        <v>34.464202173692257</v>
      </c>
      <c r="I30" s="397">
        <f t="shared" si="24"/>
        <v>116.28864407862156</v>
      </c>
    </row>
    <row r="31" spans="1:81" s="396" customFormat="1" ht="15.75" customHeight="1" x14ac:dyDescent="0.25">
      <c r="A31" s="427"/>
      <c r="B31" s="417" t="s">
        <v>755</v>
      </c>
      <c r="C31" s="421">
        <f>C442</f>
        <v>84320582.799999997</v>
      </c>
      <c r="D31" s="421">
        <f>D442</f>
        <v>84633644.5</v>
      </c>
      <c r="E31" s="421">
        <f t="shared" ref="E31:I31" si="25">E442</f>
        <v>23810109.399999999</v>
      </c>
      <c r="F31" s="695">
        <f t="shared" si="25"/>
        <v>23810109.399999999</v>
      </c>
      <c r="G31" s="421">
        <f t="shared" si="25"/>
        <v>28.237600606337367</v>
      </c>
      <c r="H31" s="421">
        <f t="shared" si="25"/>
        <v>28.133149104786568</v>
      </c>
      <c r="I31" s="421">
        <f t="shared" si="25"/>
        <v>167.76402813951668</v>
      </c>
      <c r="J31" s="410"/>
    </row>
    <row r="32" spans="1:81" s="396" customFormat="1" ht="15.75" customHeight="1" x14ac:dyDescent="0.2">
      <c r="A32" s="417"/>
      <c r="B32" s="417" t="s">
        <v>754</v>
      </c>
      <c r="C32" s="421">
        <f>C494</f>
        <v>63946000</v>
      </c>
      <c r="D32" s="421">
        <f>D494</f>
        <v>66382479</v>
      </c>
      <c r="E32" s="421">
        <f t="shared" ref="E32:I32" si="26">E494</f>
        <v>19133189.300000001</v>
      </c>
      <c r="F32" s="695">
        <f t="shared" si="26"/>
        <v>19133189.300000001</v>
      </c>
      <c r="G32" s="421">
        <f t="shared" si="26"/>
        <v>29.920854001814028</v>
      </c>
      <c r="H32" s="421">
        <f t="shared" si="26"/>
        <v>28.82264957293927</v>
      </c>
      <c r="I32" s="421">
        <f t="shared" si="26"/>
        <v>111.54923224579525</v>
      </c>
      <c r="J32" s="410"/>
    </row>
    <row r="33" spans="1:10" s="396" customFormat="1" ht="15.75" customHeight="1" thickBot="1" x14ac:dyDescent="0.25">
      <c r="A33" s="420"/>
      <c r="B33" s="402" t="s">
        <v>753</v>
      </c>
      <c r="C33" s="419">
        <f>C517</f>
        <v>17576816</v>
      </c>
      <c r="D33" s="419">
        <f>D517</f>
        <v>18637285</v>
      </c>
      <c r="E33" s="419">
        <f t="shared" ref="E33:I33" si="27">E517</f>
        <v>15526395</v>
      </c>
      <c r="F33" s="696">
        <f t="shared" si="27"/>
        <v>0</v>
      </c>
      <c r="G33" s="419">
        <f t="shared" si="27"/>
        <v>88.334514055332889</v>
      </c>
      <c r="H33" s="419">
        <f t="shared" si="27"/>
        <v>83.308244736290717</v>
      </c>
      <c r="I33" s="419">
        <f t="shared" si="27"/>
        <v>81.985659475106587</v>
      </c>
      <c r="J33" s="410"/>
    </row>
    <row r="34" spans="1:10" s="396" customFormat="1" ht="19.5" thickBot="1" x14ac:dyDescent="0.35">
      <c r="A34" s="402"/>
      <c r="B34" s="426" t="s">
        <v>752</v>
      </c>
      <c r="C34" s="411">
        <f>C528</f>
        <v>24084500</v>
      </c>
      <c r="D34" s="411">
        <f>D528</f>
        <v>24084500</v>
      </c>
      <c r="E34" s="411">
        <f t="shared" ref="E34:I34" si="28">E528</f>
        <v>10675839.41</v>
      </c>
      <c r="F34" s="699">
        <f t="shared" si="28"/>
        <v>0</v>
      </c>
      <c r="G34" s="411">
        <f t="shared" si="28"/>
        <v>44.326597645788787</v>
      </c>
      <c r="H34" s="411">
        <f t="shared" si="28"/>
        <v>44.326597645788787</v>
      </c>
      <c r="I34" s="411">
        <f t="shared" si="28"/>
        <v>85.351083716756875</v>
      </c>
    </row>
    <row r="35" spans="1:10" s="396" customFormat="1" ht="19.5" thickBot="1" x14ac:dyDescent="0.35">
      <c r="A35" s="402"/>
      <c r="B35" s="426" t="s">
        <v>751</v>
      </c>
      <c r="C35" s="411">
        <f>C532</f>
        <v>34895800</v>
      </c>
      <c r="D35" s="411">
        <f>D532</f>
        <v>35062237.5</v>
      </c>
      <c r="E35" s="411">
        <f t="shared" ref="E35:I35" si="29">E532</f>
        <v>10224875.470000001</v>
      </c>
      <c r="F35" s="699">
        <f t="shared" si="29"/>
        <v>10224875.470000001</v>
      </c>
      <c r="G35" s="411">
        <f t="shared" si="29"/>
        <v>29.301163664395148</v>
      </c>
      <c r="H35" s="411">
        <f t="shared" si="29"/>
        <v>29.162073498589475</v>
      </c>
      <c r="I35" s="411">
        <f t="shared" si="29"/>
        <v>91.666701376420662</v>
      </c>
    </row>
    <row r="36" spans="1:10" s="396" customFormat="1" ht="19.5" thickBot="1" x14ac:dyDescent="0.25">
      <c r="A36" s="425"/>
      <c r="B36" s="424" t="s">
        <v>750</v>
      </c>
      <c r="C36" s="423">
        <f>C549</f>
        <v>149365960</v>
      </c>
      <c r="D36" s="423">
        <f>D549</f>
        <v>151136957</v>
      </c>
      <c r="E36" s="423">
        <f t="shared" ref="E36:I36" si="30">E549</f>
        <v>62813196.600000001</v>
      </c>
      <c r="F36" s="703">
        <f t="shared" si="30"/>
        <v>62813196.600000001</v>
      </c>
      <c r="G36" s="423">
        <f t="shared" si="30"/>
        <v>42.05322055975806</v>
      </c>
      <c r="H36" s="423">
        <f t="shared" si="30"/>
        <v>41.560448117266255</v>
      </c>
      <c r="I36" s="423">
        <f t="shared" si="30"/>
        <v>103.31626522821007</v>
      </c>
    </row>
    <row r="37" spans="1:10" s="396" customFormat="1" ht="18.75" x14ac:dyDescent="0.3">
      <c r="A37" s="405"/>
      <c r="B37" s="398" t="s">
        <v>214</v>
      </c>
      <c r="C37" s="397">
        <f>C559</f>
        <v>10937288</v>
      </c>
      <c r="D37" s="397">
        <f>D559</f>
        <v>10887288</v>
      </c>
      <c r="E37" s="397">
        <f t="shared" ref="E37:I37" si="31">E559</f>
        <v>9146016.3599999994</v>
      </c>
      <c r="F37" s="694">
        <f t="shared" si="31"/>
        <v>9146016.3599999994</v>
      </c>
      <c r="G37" s="397">
        <f t="shared" si="31"/>
        <v>83.622341845620227</v>
      </c>
      <c r="H37" s="397">
        <f t="shared" si="31"/>
        <v>84.0063784479661</v>
      </c>
      <c r="I37" s="397">
        <f t="shared" si="31"/>
        <v>138.27491559696711</v>
      </c>
      <c r="J37" s="410"/>
    </row>
    <row r="38" spans="1:10" s="396" customFormat="1" ht="16.5" customHeight="1" x14ac:dyDescent="0.2">
      <c r="A38" s="422"/>
      <c r="B38" s="422" t="s">
        <v>749</v>
      </c>
      <c r="C38" s="421">
        <f>C560</f>
        <v>3067000</v>
      </c>
      <c r="D38" s="421">
        <f>D560</f>
        <v>3017000</v>
      </c>
      <c r="E38" s="421">
        <f t="shared" ref="E38:I38" si="32">E560</f>
        <v>1966616.36</v>
      </c>
      <c r="F38" s="695">
        <f t="shared" si="32"/>
        <v>1966616.3599999999</v>
      </c>
      <c r="G38" s="421">
        <f t="shared" si="32"/>
        <v>64.121824584284312</v>
      </c>
      <c r="H38" s="421">
        <f t="shared" si="32"/>
        <v>65.184499834272458</v>
      </c>
      <c r="I38" s="421">
        <f t="shared" si="32"/>
        <v>338.27199456622668</v>
      </c>
      <c r="J38" s="410"/>
    </row>
    <row r="39" spans="1:10" s="396" customFormat="1" ht="16.5" customHeight="1" thickBot="1" x14ac:dyDescent="0.25">
      <c r="A39" s="420"/>
      <c r="B39" s="420" t="s">
        <v>748</v>
      </c>
      <c r="C39" s="419">
        <f>C585</f>
        <v>7870288</v>
      </c>
      <c r="D39" s="419">
        <f>D585</f>
        <v>7870288</v>
      </c>
      <c r="E39" s="419">
        <f t="shared" ref="E39:I39" si="33">E585</f>
        <v>7179400</v>
      </c>
      <c r="F39" s="696">
        <f t="shared" si="33"/>
        <v>0</v>
      </c>
      <c r="G39" s="419">
        <f t="shared" si="33"/>
        <v>91.221566478888704</v>
      </c>
      <c r="H39" s="419">
        <f t="shared" si="33"/>
        <v>91.221566478888704</v>
      </c>
      <c r="I39" s="419">
        <f t="shared" si="33"/>
        <v>119.00215481518318</v>
      </c>
    </row>
    <row r="40" spans="1:10" s="396" customFormat="1" ht="18.75" x14ac:dyDescent="0.3">
      <c r="A40" s="405"/>
      <c r="B40" s="418" t="s">
        <v>747</v>
      </c>
      <c r="C40" s="403">
        <f>C596</f>
        <v>13505100</v>
      </c>
      <c r="D40" s="403">
        <f>D596</f>
        <v>20484366</v>
      </c>
      <c r="E40" s="403">
        <f t="shared" ref="E40:I40" si="34">E596</f>
        <v>6044817.5700000003</v>
      </c>
      <c r="F40" s="704">
        <f t="shared" si="34"/>
        <v>0</v>
      </c>
      <c r="G40" s="403">
        <f t="shared" si="34"/>
        <v>44.759517293466914</v>
      </c>
      <c r="H40" s="403">
        <f t="shared" si="34"/>
        <v>29.509419866838936</v>
      </c>
      <c r="I40" s="403">
        <f t="shared" si="34"/>
        <v>112.08381294183458</v>
      </c>
    </row>
    <row r="41" spans="1:10" s="396" customFormat="1" ht="16.5" customHeight="1" x14ac:dyDescent="0.2">
      <c r="A41" s="417"/>
      <c r="B41" s="416" t="s">
        <v>746</v>
      </c>
      <c r="C41" s="734">
        <f t="shared" ref="C41" si="35">C598</f>
        <v>6835500</v>
      </c>
      <c r="D41" s="734">
        <f t="shared" ref="D41:I43" si="36">D598</f>
        <v>10831648</v>
      </c>
      <c r="E41" s="734">
        <f t="shared" si="36"/>
        <v>2999655.76</v>
      </c>
      <c r="F41" s="735">
        <f t="shared" si="36"/>
        <v>0</v>
      </c>
      <c r="G41" s="734">
        <f t="shared" si="36"/>
        <v>43.883487089459436</v>
      </c>
      <c r="H41" s="734">
        <f t="shared" si="36"/>
        <v>27.693438339207475</v>
      </c>
      <c r="I41" s="734">
        <f t="shared" si="36"/>
        <v>115.39304220356668</v>
      </c>
    </row>
    <row r="42" spans="1:10" s="396" customFormat="1" ht="16.5" customHeight="1" x14ac:dyDescent="0.2">
      <c r="A42" s="414"/>
      <c r="B42" s="413" t="s">
        <v>745</v>
      </c>
      <c r="C42" s="440">
        <f t="shared" ref="C42" si="37">C599</f>
        <v>1739300</v>
      </c>
      <c r="D42" s="440">
        <f t="shared" si="36"/>
        <v>2644275</v>
      </c>
      <c r="E42" s="440">
        <f t="shared" si="36"/>
        <v>684923.55</v>
      </c>
      <c r="F42" s="736">
        <f t="shared" si="36"/>
        <v>0</v>
      </c>
      <c r="G42" s="440">
        <f t="shared" si="36"/>
        <v>39.379264646696946</v>
      </c>
      <c r="H42" s="440">
        <f t="shared" si="36"/>
        <v>25.90213007346059</v>
      </c>
      <c r="I42" s="440">
        <f t="shared" si="36"/>
        <v>124.79741842758472</v>
      </c>
    </row>
    <row r="43" spans="1:10" s="396" customFormat="1" ht="16.5" customHeight="1" thickBot="1" x14ac:dyDescent="0.25">
      <c r="A43" s="402"/>
      <c r="B43" s="412" t="s">
        <v>744</v>
      </c>
      <c r="C43" s="400">
        <f t="shared" ref="C43" si="38">C600</f>
        <v>4930300</v>
      </c>
      <c r="D43" s="400">
        <f t="shared" si="36"/>
        <v>7008443</v>
      </c>
      <c r="E43" s="400">
        <f t="shared" si="36"/>
        <v>2360238.2599999998</v>
      </c>
      <c r="F43" s="737">
        <f t="shared" si="36"/>
        <v>0</v>
      </c>
      <c r="G43" s="400">
        <f t="shared" si="36"/>
        <v>47.872102306147696</v>
      </c>
      <c r="H43" s="400">
        <f t="shared" si="36"/>
        <v>33.677070071055724</v>
      </c>
      <c r="I43" s="400">
        <f t="shared" si="36"/>
        <v>105.14328915414792</v>
      </c>
      <c r="J43" s="410"/>
    </row>
    <row r="44" spans="1:10" s="396" customFormat="1" ht="18.75" x14ac:dyDescent="0.3">
      <c r="A44" s="732"/>
      <c r="B44" s="404" t="s">
        <v>176</v>
      </c>
      <c r="C44" s="403">
        <f>C602</f>
        <v>58483000</v>
      </c>
      <c r="D44" s="403">
        <f>D602</f>
        <v>59095350</v>
      </c>
      <c r="E44" s="403">
        <f t="shared" ref="E44:I44" si="39">E602</f>
        <v>21578005.460000001</v>
      </c>
      <c r="F44" s="704">
        <f t="shared" si="39"/>
        <v>21578005.460000001</v>
      </c>
      <c r="G44" s="403">
        <f t="shared" si="39"/>
        <v>36.896201391857467</v>
      </c>
      <c r="H44" s="403">
        <f t="shared" si="39"/>
        <v>36.513880466060364</v>
      </c>
      <c r="I44" s="403">
        <f t="shared" si="39"/>
        <v>109.25044846201595</v>
      </c>
    </row>
    <row r="45" spans="1:10" s="396" customFormat="1" ht="15.75" customHeight="1" thickBot="1" x14ac:dyDescent="0.25">
      <c r="A45" s="402"/>
      <c r="B45" s="401" t="s">
        <v>977</v>
      </c>
      <c r="C45" s="400">
        <f>C624</f>
        <v>0</v>
      </c>
      <c r="D45" s="400">
        <f t="shared" ref="D45:I45" si="40">D624</f>
        <v>300000</v>
      </c>
      <c r="E45" s="400">
        <f t="shared" si="40"/>
        <v>0</v>
      </c>
      <c r="F45" s="400">
        <f t="shared" si="40"/>
        <v>0</v>
      </c>
      <c r="G45" s="400">
        <f t="shared" si="40"/>
        <v>0</v>
      </c>
      <c r="H45" s="400">
        <f t="shared" si="40"/>
        <v>0</v>
      </c>
      <c r="I45" s="400">
        <f t="shared" si="40"/>
        <v>0</v>
      </c>
      <c r="J45" s="201"/>
    </row>
    <row r="46" spans="1:10" s="396" customFormat="1" ht="18.75" customHeight="1" thickBot="1" x14ac:dyDescent="0.35">
      <c r="A46" s="409"/>
      <c r="B46" s="408" t="s">
        <v>743</v>
      </c>
      <c r="C46" s="407">
        <f>C628</f>
        <v>224822000</v>
      </c>
      <c r="D46" s="407">
        <f>D628</f>
        <v>222087754.03</v>
      </c>
      <c r="E46" s="407">
        <f t="shared" ref="E46:I46" si="41">E628</f>
        <v>40058367.969999999</v>
      </c>
      <c r="F46" s="700">
        <f t="shared" si="41"/>
        <v>40058367.969999999</v>
      </c>
      <c r="G46" s="407">
        <f t="shared" si="41"/>
        <v>17.817814969175615</v>
      </c>
      <c r="H46" s="407">
        <f t="shared" si="41"/>
        <v>18.037180007948052</v>
      </c>
      <c r="I46" s="407">
        <f t="shared" si="41"/>
        <v>68.561387606068919</v>
      </c>
      <c r="J46" s="406"/>
    </row>
    <row r="47" spans="1:10" s="396" customFormat="1" ht="19.5" customHeight="1" x14ac:dyDescent="0.3">
      <c r="A47" s="405"/>
      <c r="B47" s="404" t="s">
        <v>30</v>
      </c>
      <c r="C47" s="403">
        <f>C768</f>
        <v>600000</v>
      </c>
      <c r="D47" s="403">
        <f>D768</f>
        <v>600000</v>
      </c>
      <c r="E47" s="403">
        <f t="shared" ref="E47:I47" si="42">E768</f>
        <v>0</v>
      </c>
      <c r="F47" s="704">
        <f t="shared" si="42"/>
        <v>0</v>
      </c>
      <c r="G47" s="403">
        <f t="shared" si="42"/>
        <v>0</v>
      </c>
      <c r="H47" s="403">
        <f t="shared" si="42"/>
        <v>0</v>
      </c>
      <c r="I47" s="403">
        <f t="shared" si="42"/>
        <v>0</v>
      </c>
      <c r="J47" s="375"/>
    </row>
    <row r="48" spans="1:10" s="396" customFormat="1" ht="15.75" customHeight="1" thickBot="1" x14ac:dyDescent="0.25">
      <c r="A48" s="402"/>
      <c r="B48" s="401" t="s">
        <v>742</v>
      </c>
      <c r="C48" s="400">
        <f>C776</f>
        <v>0</v>
      </c>
      <c r="D48" s="400">
        <f>D776</f>
        <v>0</v>
      </c>
      <c r="E48" s="400">
        <f t="shared" ref="E48:F48" si="43">E776</f>
        <v>0</v>
      </c>
      <c r="F48" s="699">
        <f t="shared" si="43"/>
        <v>0</v>
      </c>
      <c r="G48" s="400">
        <v>0</v>
      </c>
      <c r="H48" s="400">
        <v>0</v>
      </c>
      <c r="I48" s="400">
        <v>0</v>
      </c>
      <c r="J48" s="201"/>
    </row>
    <row r="49" spans="1:10" s="396" customFormat="1" ht="19.5" thickBot="1" x14ac:dyDescent="0.35">
      <c r="A49" s="399"/>
      <c r="B49" s="398" t="s">
        <v>20</v>
      </c>
      <c r="C49" s="397">
        <f>C779</f>
        <v>36184308.620000005</v>
      </c>
      <c r="D49" s="397">
        <f>D779</f>
        <v>50707248.560000002</v>
      </c>
      <c r="E49" s="397">
        <f t="shared" ref="E49:I49" si="44">E779</f>
        <v>24564884.629999999</v>
      </c>
      <c r="F49" s="694">
        <f t="shared" si="44"/>
        <v>24564884.629999999</v>
      </c>
      <c r="G49" s="397">
        <f t="shared" si="44"/>
        <v>67.888224390232935</v>
      </c>
      <c r="H49" s="397">
        <f t="shared" si="44"/>
        <v>48.444522879077702</v>
      </c>
      <c r="I49" s="397">
        <f t="shared" si="44"/>
        <v>76.474189555576402</v>
      </c>
      <c r="J49" s="201"/>
    </row>
    <row r="50" spans="1:10" s="394" customFormat="1" ht="23.25" customHeight="1" thickBot="1" x14ac:dyDescent="0.35">
      <c r="A50" s="395"/>
      <c r="B50" s="139" t="s">
        <v>0</v>
      </c>
      <c r="C50" s="176">
        <f>C800</f>
        <v>902306516.75</v>
      </c>
      <c r="D50" s="176">
        <f>D800</f>
        <v>911313360.41999984</v>
      </c>
      <c r="E50" s="176">
        <f t="shared" ref="E50:I50" si="45">E800</f>
        <v>275166958.56</v>
      </c>
      <c r="F50" s="697">
        <f t="shared" si="45"/>
        <v>275166958.56</v>
      </c>
      <c r="G50" s="176">
        <f t="shared" si="45"/>
        <v>30.49595159205083</v>
      </c>
      <c r="H50" s="176">
        <f t="shared" si="45"/>
        <v>30.194548934647784</v>
      </c>
      <c r="I50" s="176">
        <f t="shared" si="45"/>
        <v>96.344134545721943</v>
      </c>
      <c r="J50" s="14"/>
    </row>
    <row r="51" spans="1:10" s="394" customFormat="1" ht="23.25" customHeight="1" thickBot="1" x14ac:dyDescent="0.35">
      <c r="A51" s="395"/>
      <c r="B51" s="139"/>
      <c r="C51" s="177"/>
      <c r="D51" s="177"/>
      <c r="E51" s="391"/>
      <c r="F51" s="390"/>
      <c r="G51" s="389"/>
      <c r="H51" s="389"/>
      <c r="I51" s="389"/>
      <c r="J51" s="201"/>
    </row>
    <row r="52" spans="1:10" s="375" customFormat="1" ht="22.5" customHeight="1" thickBot="1" x14ac:dyDescent="0.35">
      <c r="A52" s="393"/>
      <c r="B52" s="392" t="s">
        <v>741</v>
      </c>
      <c r="C52" s="389"/>
      <c r="D52" s="389"/>
      <c r="E52" s="189"/>
      <c r="F52" s="390"/>
      <c r="G52" s="479"/>
      <c r="H52" s="479"/>
      <c r="I52" s="479"/>
      <c r="J52" s="14"/>
    </row>
    <row r="53" spans="1:10" s="564" customFormat="1" ht="18.75" thickBot="1" x14ac:dyDescent="0.3">
      <c r="A53" s="388"/>
      <c r="B53" s="560" t="s">
        <v>740</v>
      </c>
      <c r="C53" s="561">
        <f>SUM(C54:C66,C70,C73:C76,C83:C86)</f>
        <v>388416000</v>
      </c>
      <c r="D53" s="561">
        <f>SUM(D54:D66,D70,D73:D76,D83:D86)</f>
        <v>380538830</v>
      </c>
      <c r="E53" s="562">
        <v>207984549.72</v>
      </c>
      <c r="F53" s="563">
        <f>SUM(E54:E66,E70,E73:E76,E83:E86)</f>
        <v>207984549.72000003</v>
      </c>
      <c r="G53" s="550">
        <f>E53/C53*100</f>
        <v>53.546854331438453</v>
      </c>
      <c r="H53" s="550">
        <f>E53/D53*100</f>
        <v>54.655276498327389</v>
      </c>
      <c r="I53" s="550">
        <f t="shared" ref="I53:I68" si="46">E53/J53*100</f>
        <v>108.33878789851836</v>
      </c>
      <c r="J53" s="568">
        <v>191976072.24000001</v>
      </c>
    </row>
    <row r="54" spans="1:10" s="220" customFormat="1" ht="12.75" customHeight="1" x14ac:dyDescent="0.2">
      <c r="A54" s="138">
        <v>1111</v>
      </c>
      <c r="B54" s="386" t="s">
        <v>739</v>
      </c>
      <c r="C54" s="120">
        <f>(85460000-83860000)/2+83860000</f>
        <v>84660000</v>
      </c>
      <c r="D54" s="120">
        <f>((85460000-83860000)/2+83860000)-29857260</f>
        <v>54802740</v>
      </c>
      <c r="E54" s="120">
        <v>25394513.399999999</v>
      </c>
      <c r="F54" s="126"/>
      <c r="G54" s="120">
        <f>E54/C54*100</f>
        <v>29.995881644223953</v>
      </c>
      <c r="H54" s="120">
        <f>E54/D54*100</f>
        <v>46.338036017907129</v>
      </c>
      <c r="I54" s="120">
        <f t="shared" si="46"/>
        <v>74.937684027328473</v>
      </c>
      <c r="J54" s="14">
        <v>33887507.640000001</v>
      </c>
    </row>
    <row r="55" spans="1:10" s="3" customFormat="1" ht="12.75" customHeight="1" x14ac:dyDescent="0.2">
      <c r="A55" s="124">
        <v>1111</v>
      </c>
      <c r="B55" s="184" t="s">
        <v>738</v>
      </c>
      <c r="C55" s="120">
        <f>(8650000-8490000)/2+8490000</f>
        <v>8570000</v>
      </c>
      <c r="D55" s="120">
        <f>((8650000-8490000)/2+8490000)-3427100</f>
        <v>5142900</v>
      </c>
      <c r="E55" s="187">
        <v>2370973.94</v>
      </c>
      <c r="F55" s="480"/>
      <c r="G55" s="120">
        <f>E55/C55*100</f>
        <v>27.665973628938158</v>
      </c>
      <c r="H55" s="120">
        <f t="shared" ref="H55:H68" si="47">E55/D55*100</f>
        <v>46.101886873164943</v>
      </c>
      <c r="I55" s="120">
        <f t="shared" si="46"/>
        <v>66.250821717610137</v>
      </c>
      <c r="J55" s="14">
        <v>3578784.2</v>
      </c>
    </row>
    <row r="56" spans="1:10" s="3" customFormat="1" ht="12.75" customHeight="1" x14ac:dyDescent="0.2">
      <c r="A56" s="124">
        <v>1112</v>
      </c>
      <c r="B56" s="184" t="s">
        <v>737</v>
      </c>
      <c r="C56" s="120">
        <f>(1280000-1140000)/2+1140000</f>
        <v>1210000</v>
      </c>
      <c r="D56" s="120">
        <f>((1280000-1140000)/2+1140000)+406600</f>
        <v>1616600</v>
      </c>
      <c r="E56" s="121">
        <v>920762.32</v>
      </c>
      <c r="F56" s="130"/>
      <c r="G56" s="120">
        <f t="shared" ref="G56:G86" si="48">E56/C56*100</f>
        <v>76.096059504132228</v>
      </c>
      <c r="H56" s="120">
        <f t="shared" si="47"/>
        <v>56.956719039960412</v>
      </c>
      <c r="I56" s="120">
        <f t="shared" si="46"/>
        <v>160.25674431680099</v>
      </c>
      <c r="J56" s="14">
        <v>574554.49</v>
      </c>
    </row>
    <row r="57" spans="1:10" s="3" customFormat="1" ht="12.75" customHeight="1" x14ac:dyDescent="0.2">
      <c r="A57" s="124">
        <v>1113</v>
      </c>
      <c r="B57" s="184" t="s">
        <v>736</v>
      </c>
      <c r="C57" s="120">
        <v>8425000</v>
      </c>
      <c r="D57" s="120">
        <f>8425000-18680</f>
        <v>8406320</v>
      </c>
      <c r="E57" s="121">
        <v>4403822.09</v>
      </c>
      <c r="F57" s="130"/>
      <c r="G57" s="120">
        <f t="shared" si="48"/>
        <v>52.270885341246284</v>
      </c>
      <c r="H57" s="120">
        <f t="shared" si="47"/>
        <v>52.387038442505165</v>
      </c>
      <c r="I57" s="120">
        <f t="shared" si="46"/>
        <v>123.53161505528045</v>
      </c>
      <c r="J57" s="14">
        <v>3564935.25</v>
      </c>
    </row>
    <row r="58" spans="1:10" s="3" customFormat="1" ht="12.75" customHeight="1" x14ac:dyDescent="0.2">
      <c r="A58" s="124">
        <v>1121</v>
      </c>
      <c r="B58" s="184" t="s">
        <v>735</v>
      </c>
      <c r="C58" s="120">
        <f>(50430000-49560000)/2+49560000</f>
        <v>49995000</v>
      </c>
      <c r="D58" s="120">
        <f>((50430000-49560000)/2+49560000)+4322760</f>
        <v>54317760</v>
      </c>
      <c r="E58" s="121">
        <v>37640470.380000003</v>
      </c>
      <c r="F58" s="130"/>
      <c r="G58" s="120">
        <f t="shared" si="48"/>
        <v>75.288469606960703</v>
      </c>
      <c r="H58" s="120">
        <f t="shared" si="47"/>
        <v>69.296801598593177</v>
      </c>
      <c r="I58" s="120">
        <f t="shared" si="46"/>
        <v>162.19710261370057</v>
      </c>
      <c r="J58" s="14">
        <v>23206623.16</v>
      </c>
    </row>
    <row r="59" spans="1:10" s="3" customFormat="1" ht="12.75" customHeight="1" x14ac:dyDescent="0.2">
      <c r="A59" s="124">
        <v>1122</v>
      </c>
      <c r="B59" s="184" t="s">
        <v>734</v>
      </c>
      <c r="C59" s="121">
        <v>23000000</v>
      </c>
      <c r="D59" s="121">
        <f>23000000-1962450</f>
        <v>21037550</v>
      </c>
      <c r="E59" s="121">
        <v>21037750</v>
      </c>
      <c r="F59" s="130"/>
      <c r="G59" s="120">
        <f t="shared" si="48"/>
        <v>91.468478260869574</v>
      </c>
      <c r="H59" s="120">
        <f t="shared" si="47"/>
        <v>100.00095068104413</v>
      </c>
      <c r="I59" s="120">
        <f t="shared" si="46"/>
        <v>95.557204870849986</v>
      </c>
      <c r="J59" s="14">
        <v>22015870</v>
      </c>
    </row>
    <row r="60" spans="1:10" s="3" customFormat="1" ht="12.75" customHeight="1" x14ac:dyDescent="0.2">
      <c r="A60" s="124">
        <v>1211</v>
      </c>
      <c r="B60" s="184" t="s">
        <v>733</v>
      </c>
      <c r="C60" s="120">
        <f>(168370000-160100000)/2+160100000</f>
        <v>164235000</v>
      </c>
      <c r="D60" s="120">
        <f>((168370000-160100000)/2+160100000)+22643960</f>
        <v>186878960</v>
      </c>
      <c r="E60" s="170">
        <v>84602295.730000004</v>
      </c>
      <c r="F60" s="295"/>
      <c r="G60" s="120">
        <f t="shared" si="48"/>
        <v>51.512951398910104</v>
      </c>
      <c r="H60" s="120">
        <f t="shared" si="47"/>
        <v>45.27117216940848</v>
      </c>
      <c r="I60" s="120">
        <f t="shared" si="46"/>
        <v>113.19450779026488</v>
      </c>
      <c r="J60" s="14">
        <v>74740636.609999999</v>
      </c>
    </row>
    <row r="61" spans="1:10" s="3" customFormat="1" ht="12.75" customHeight="1" x14ac:dyDescent="0.2">
      <c r="A61" s="124">
        <v>1334</v>
      </c>
      <c r="B61" s="184" t="s">
        <v>732</v>
      </c>
      <c r="C61" s="120">
        <v>50000</v>
      </c>
      <c r="D61" s="120">
        <v>50000</v>
      </c>
      <c r="E61" s="121">
        <v>10559.9</v>
      </c>
      <c r="F61" s="130"/>
      <c r="G61" s="120">
        <f t="shared" si="48"/>
        <v>21.119799999999998</v>
      </c>
      <c r="H61" s="120">
        <f t="shared" si="47"/>
        <v>21.119799999999998</v>
      </c>
      <c r="I61" s="120">
        <f>E61/J61*100</f>
        <v>19.578502007927888</v>
      </c>
      <c r="J61" s="14">
        <v>53936.2</v>
      </c>
    </row>
    <row r="62" spans="1:10" s="3" customFormat="1" ht="12.75" customHeight="1" x14ac:dyDescent="0.2">
      <c r="A62" s="124">
        <v>1335</v>
      </c>
      <c r="B62" s="184" t="s">
        <v>731</v>
      </c>
      <c r="C62" s="120">
        <v>5000</v>
      </c>
      <c r="D62" s="120">
        <f>5000+15000</f>
        <v>20000</v>
      </c>
      <c r="E62" s="121">
        <v>16809.64</v>
      </c>
      <c r="F62" s="130"/>
      <c r="G62" s="120">
        <f t="shared" si="48"/>
        <v>336.19279999999998</v>
      </c>
      <c r="H62" s="120">
        <f t="shared" si="47"/>
        <v>84.048199999999994</v>
      </c>
      <c r="I62" s="120">
        <f>E62/J62*100</f>
        <v>81.777882428032939</v>
      </c>
      <c r="J62" s="14">
        <v>20555.240000000002</v>
      </c>
    </row>
    <row r="63" spans="1:10" s="3" customFormat="1" ht="12.75" customHeight="1" x14ac:dyDescent="0.2">
      <c r="A63" s="124">
        <v>1336</v>
      </c>
      <c r="B63" s="184" t="s">
        <v>730</v>
      </c>
      <c r="C63" s="120">
        <v>0</v>
      </c>
      <c r="D63" s="120">
        <v>0</v>
      </c>
      <c r="E63" s="121">
        <v>2800</v>
      </c>
      <c r="F63" s="130"/>
      <c r="G63" s="120">
        <v>0</v>
      </c>
      <c r="H63" s="120">
        <v>0</v>
      </c>
      <c r="I63" s="120">
        <f t="shared" si="46"/>
        <v>100</v>
      </c>
      <c r="J63" s="6">
        <v>2800</v>
      </c>
    </row>
    <row r="64" spans="1:10" s="3" customFormat="1" ht="26.25" customHeight="1" x14ac:dyDescent="0.2">
      <c r="A64" s="124">
        <v>1340</v>
      </c>
      <c r="B64" s="203" t="s">
        <v>729</v>
      </c>
      <c r="C64" s="121">
        <v>13000000</v>
      </c>
      <c r="D64" s="121">
        <v>13000000</v>
      </c>
      <c r="E64" s="121">
        <v>10935899.199999999</v>
      </c>
      <c r="F64" s="130"/>
      <c r="G64" s="120">
        <f t="shared" si="48"/>
        <v>84.122301538461528</v>
      </c>
      <c r="H64" s="120">
        <f t="shared" si="47"/>
        <v>84.122301538461528</v>
      </c>
      <c r="I64" s="120">
        <f t="shared" si="46"/>
        <v>103.93116636228963</v>
      </c>
      <c r="J64" s="6">
        <v>10522251.970000001</v>
      </c>
    </row>
    <row r="65" spans="1:31" s="3" customFormat="1" ht="12.75" customHeight="1" x14ac:dyDescent="0.2">
      <c r="A65" s="124">
        <v>1341</v>
      </c>
      <c r="B65" s="184" t="s">
        <v>728</v>
      </c>
      <c r="C65" s="120">
        <v>650000</v>
      </c>
      <c r="D65" s="120">
        <v>650000</v>
      </c>
      <c r="E65" s="121">
        <v>536626.24</v>
      </c>
      <c r="F65" s="130"/>
      <c r="G65" s="120">
        <f t="shared" si="48"/>
        <v>82.557883076923076</v>
      </c>
      <c r="H65" s="120">
        <f t="shared" si="47"/>
        <v>82.557883076923076</v>
      </c>
      <c r="I65" s="120">
        <f t="shared" si="46"/>
        <v>101.19455595384585</v>
      </c>
      <c r="J65" s="6">
        <v>530291.61</v>
      </c>
    </row>
    <row r="66" spans="1:31" s="3" customFormat="1" ht="12.75" customHeight="1" x14ac:dyDescent="0.2">
      <c r="A66" s="124">
        <v>1343</v>
      </c>
      <c r="B66" s="184" t="s">
        <v>727</v>
      </c>
      <c r="C66" s="170">
        <f>SUM(C67:C69)</f>
        <v>385000</v>
      </c>
      <c r="D66" s="170">
        <f>SUM(D67:D69)</f>
        <v>385000</v>
      </c>
      <c r="E66" s="121">
        <v>192268</v>
      </c>
      <c r="F66" s="130">
        <f>SUM(E67:E69)</f>
        <v>192268</v>
      </c>
      <c r="G66" s="120">
        <f t="shared" si="48"/>
        <v>49.939740259740262</v>
      </c>
      <c r="H66" s="120">
        <f t="shared" si="47"/>
        <v>49.939740259740262</v>
      </c>
      <c r="I66" s="120">
        <f t="shared" si="46"/>
        <v>121.35143493710514</v>
      </c>
      <c r="J66" s="14">
        <v>158439</v>
      </c>
    </row>
    <row r="67" spans="1:31" ht="12.75" customHeight="1" x14ac:dyDescent="0.2">
      <c r="A67" s="132"/>
      <c r="B67" s="185" t="s">
        <v>726</v>
      </c>
      <c r="C67" s="126">
        <v>300000</v>
      </c>
      <c r="D67" s="126">
        <v>300000</v>
      </c>
      <c r="E67" s="130">
        <v>172850</v>
      </c>
      <c r="F67" s="130"/>
      <c r="G67" s="126">
        <f t="shared" si="48"/>
        <v>57.616666666666674</v>
      </c>
      <c r="H67" s="126">
        <f t="shared" si="47"/>
        <v>57.616666666666674</v>
      </c>
      <c r="I67" s="126">
        <f t="shared" si="46"/>
        <v>148.59358343935901</v>
      </c>
      <c r="J67" s="14">
        <v>116324</v>
      </c>
    </row>
    <row r="68" spans="1:31" ht="12.75" customHeight="1" x14ac:dyDescent="0.2">
      <c r="A68" s="132"/>
      <c r="B68" s="185" t="s">
        <v>725</v>
      </c>
      <c r="C68" s="126">
        <v>60000</v>
      </c>
      <c r="D68" s="126">
        <v>60000</v>
      </c>
      <c r="E68" s="130">
        <v>758</v>
      </c>
      <c r="F68" s="130"/>
      <c r="G68" s="126">
        <f t="shared" si="48"/>
        <v>1.2633333333333334</v>
      </c>
      <c r="H68" s="126">
        <f t="shared" si="47"/>
        <v>1.2633333333333334</v>
      </c>
      <c r="I68" s="126">
        <f t="shared" si="46"/>
        <v>2.2869211042389503</v>
      </c>
      <c r="J68" s="14">
        <v>33145</v>
      </c>
    </row>
    <row r="69" spans="1:31" ht="12.75" customHeight="1" x14ac:dyDescent="0.2">
      <c r="A69" s="132"/>
      <c r="B69" s="185" t="s">
        <v>724</v>
      </c>
      <c r="C69" s="126">
        <v>25000</v>
      </c>
      <c r="D69" s="126">
        <v>25000</v>
      </c>
      <c r="E69" s="295">
        <v>18660</v>
      </c>
      <c r="F69" s="295"/>
      <c r="G69" s="126">
        <f t="shared" si="48"/>
        <v>74.64</v>
      </c>
      <c r="H69" s="126">
        <f>E69/D69*100</f>
        <v>74.64</v>
      </c>
      <c r="I69" s="126">
        <f>E69/J69*100</f>
        <v>208.0267558528428</v>
      </c>
      <c r="J69" s="6">
        <v>8970</v>
      </c>
    </row>
    <row r="70" spans="1:31" s="220" customFormat="1" ht="25.5" customHeight="1" x14ac:dyDescent="0.2">
      <c r="A70" s="20">
        <v>1346</v>
      </c>
      <c r="B70" s="385" t="s">
        <v>723</v>
      </c>
      <c r="C70" s="120">
        <f>SUM(C71:C72)</f>
        <v>95000</v>
      </c>
      <c r="D70" s="120">
        <f>SUM(D71:D72)</f>
        <v>95000</v>
      </c>
      <c r="E70" s="121">
        <v>114040</v>
      </c>
      <c r="F70" s="130">
        <f>SUM(E71:E72)</f>
        <v>114040</v>
      </c>
      <c r="G70" s="120">
        <f t="shared" si="48"/>
        <v>120.04210526315791</v>
      </c>
      <c r="H70" s="120">
        <f>E70/D70*100</f>
        <v>120.04210526315791</v>
      </c>
      <c r="I70" s="120">
        <f>E70/J70*100</f>
        <v>92.507868522664594</v>
      </c>
      <c r="J70" s="6">
        <v>123276</v>
      </c>
    </row>
    <row r="71" spans="1:31" s="90" customFormat="1" x14ac:dyDescent="0.2">
      <c r="A71" s="23"/>
      <c r="B71" s="384" t="s">
        <v>722</v>
      </c>
      <c r="C71" s="126">
        <v>5000</v>
      </c>
      <c r="D71" s="126">
        <v>5000</v>
      </c>
      <c r="E71" s="130">
        <v>5200</v>
      </c>
      <c r="F71" s="130"/>
      <c r="G71" s="126">
        <f t="shared" si="48"/>
        <v>104</v>
      </c>
      <c r="H71" s="126">
        <f>E71/D71*100</f>
        <v>104</v>
      </c>
      <c r="I71" s="126">
        <f>E71/J71*100</f>
        <v>4.5329335053523483</v>
      </c>
      <c r="J71" s="6">
        <v>114716</v>
      </c>
    </row>
    <row r="72" spans="1:31" s="383" customFormat="1" x14ac:dyDescent="0.2">
      <c r="A72" s="307"/>
      <c r="B72" s="166" t="s">
        <v>721</v>
      </c>
      <c r="C72" s="133">
        <v>90000</v>
      </c>
      <c r="D72" s="133">
        <v>90000</v>
      </c>
      <c r="E72" s="130">
        <v>108840</v>
      </c>
      <c r="F72" s="130"/>
      <c r="G72" s="126">
        <f t="shared" si="48"/>
        <v>120.93333333333334</v>
      </c>
      <c r="H72" s="126">
        <f>E72/D72*100</f>
        <v>120.93333333333334</v>
      </c>
      <c r="I72" s="126">
        <f>E72/J72*100</f>
        <v>1271.4953271028037</v>
      </c>
      <c r="J72" s="14">
        <v>8560</v>
      </c>
    </row>
    <row r="73" spans="1:31" s="220" customFormat="1" ht="12.75" customHeight="1" x14ac:dyDescent="0.2">
      <c r="A73" s="20">
        <v>1353</v>
      </c>
      <c r="B73" s="19" t="s">
        <v>720</v>
      </c>
      <c r="C73" s="120">
        <v>600000</v>
      </c>
      <c r="D73" s="120">
        <v>600000</v>
      </c>
      <c r="E73" s="121">
        <v>263000</v>
      </c>
      <c r="F73" s="130"/>
      <c r="G73" s="120">
        <f t="shared" si="48"/>
        <v>43.833333333333336</v>
      </c>
      <c r="H73" s="120">
        <f t="shared" ref="H73:H82" si="49">E73/D73*100</f>
        <v>43.833333333333336</v>
      </c>
      <c r="I73" s="120">
        <f t="shared" ref="I73:I82" si="50">E73/J73*100</f>
        <v>138.93291072371895</v>
      </c>
      <c r="J73" s="14">
        <v>189300</v>
      </c>
    </row>
    <row r="74" spans="1:31" s="3" customFormat="1" ht="12.75" customHeight="1" x14ac:dyDescent="0.2">
      <c r="A74" s="124">
        <v>1356</v>
      </c>
      <c r="B74" s="184" t="s">
        <v>719</v>
      </c>
      <c r="C74" s="121">
        <v>250000</v>
      </c>
      <c r="D74" s="121">
        <v>250000</v>
      </c>
      <c r="E74" s="121">
        <v>242547.84</v>
      </c>
      <c r="F74" s="130"/>
      <c r="G74" s="120">
        <f t="shared" si="48"/>
        <v>97.019135999999989</v>
      </c>
      <c r="H74" s="120">
        <f t="shared" si="49"/>
        <v>97.019135999999989</v>
      </c>
      <c r="I74" s="120">
        <f t="shared" si="50"/>
        <v>100</v>
      </c>
      <c r="J74" s="6">
        <v>242547.84</v>
      </c>
    </row>
    <row r="75" spans="1:31" s="3" customFormat="1" ht="12.75" customHeight="1" x14ac:dyDescent="0.2">
      <c r="A75" s="124">
        <v>1359</v>
      </c>
      <c r="B75" s="184" t="s">
        <v>718</v>
      </c>
      <c r="C75" s="120">
        <v>0</v>
      </c>
      <c r="D75" s="120">
        <v>0</v>
      </c>
      <c r="E75" s="121">
        <v>34000</v>
      </c>
      <c r="F75" s="130"/>
      <c r="G75" s="120">
        <v>0</v>
      </c>
      <c r="H75" s="120">
        <v>0</v>
      </c>
      <c r="I75" s="120">
        <f t="shared" si="50"/>
        <v>68</v>
      </c>
      <c r="J75" s="14">
        <v>50000</v>
      </c>
    </row>
    <row r="76" spans="1:31" s="3" customFormat="1" ht="12.75" customHeight="1" x14ac:dyDescent="0.2">
      <c r="A76" s="124">
        <v>1361</v>
      </c>
      <c r="B76" s="184" t="s">
        <v>717</v>
      </c>
      <c r="C76" s="170">
        <f>SUM(C77:C82)</f>
        <v>8086000</v>
      </c>
      <c r="D76" s="170">
        <f>SUM(D77:D82)</f>
        <v>8086000</v>
      </c>
      <c r="E76" s="121">
        <v>4775300</v>
      </c>
      <c r="F76" s="130">
        <f>SUM(E77:E82)</f>
        <v>4775300</v>
      </c>
      <c r="G76" s="120">
        <f t="shared" si="48"/>
        <v>59.0563937670047</v>
      </c>
      <c r="H76" s="120">
        <f t="shared" si="49"/>
        <v>59.0563937670047</v>
      </c>
      <c r="I76" s="120">
        <f t="shared" si="50"/>
        <v>112.7764768952638</v>
      </c>
      <c r="J76" s="14">
        <v>4234305</v>
      </c>
    </row>
    <row r="77" spans="1:31" s="375" customFormat="1" ht="12.75" customHeight="1" x14ac:dyDescent="0.2">
      <c r="A77" s="16"/>
      <c r="B77" s="15" t="s">
        <v>716</v>
      </c>
      <c r="C77" s="126">
        <v>5500000</v>
      </c>
      <c r="D77" s="126">
        <v>5500000</v>
      </c>
      <c r="E77" s="130">
        <v>3255315</v>
      </c>
      <c r="F77" s="130"/>
      <c r="G77" s="126">
        <f t="shared" si="48"/>
        <v>59.187545454545457</v>
      </c>
      <c r="H77" s="126">
        <f>E77/D77*100</f>
        <v>59.187545454545457</v>
      </c>
      <c r="I77" s="126">
        <f>E77/J77*100</f>
        <v>116.41175376737067</v>
      </c>
      <c r="J77" s="14">
        <v>2796380</v>
      </c>
    </row>
    <row r="78" spans="1:31" ht="26.25" customHeight="1" x14ac:dyDescent="0.2">
      <c r="A78" s="132"/>
      <c r="B78" s="183" t="s">
        <v>715</v>
      </c>
      <c r="C78" s="126">
        <v>400000</v>
      </c>
      <c r="D78" s="126">
        <v>400000</v>
      </c>
      <c r="E78" s="130">
        <v>230000</v>
      </c>
      <c r="F78" s="130"/>
      <c r="G78" s="126">
        <f t="shared" si="48"/>
        <v>57.499999999999993</v>
      </c>
      <c r="H78" s="126">
        <f t="shared" si="49"/>
        <v>57.499999999999993</v>
      </c>
      <c r="I78" s="126">
        <f t="shared" si="50"/>
        <v>113.26701467546539</v>
      </c>
      <c r="J78" s="6">
        <v>203060</v>
      </c>
    </row>
    <row r="79" spans="1:31" ht="12.75" customHeight="1" x14ac:dyDescent="0.2">
      <c r="A79" s="132"/>
      <c r="B79" s="185" t="s">
        <v>714</v>
      </c>
      <c r="C79" s="126">
        <v>1000000</v>
      </c>
      <c r="D79" s="126">
        <v>1000000</v>
      </c>
      <c r="E79" s="130">
        <v>533750</v>
      </c>
      <c r="F79" s="130"/>
      <c r="G79" s="126">
        <f t="shared" si="48"/>
        <v>53.374999999999993</v>
      </c>
      <c r="H79" s="126">
        <f>E79/D79*100</f>
        <v>53.374999999999993</v>
      </c>
      <c r="I79" s="126">
        <f>E79/J79*100</f>
        <v>99.729073243647235</v>
      </c>
      <c r="J79" s="14">
        <v>535200</v>
      </c>
    </row>
    <row r="80" spans="1:31" s="377" customFormat="1" ht="12.75" customHeight="1" x14ac:dyDescent="0.2">
      <c r="A80" s="237"/>
      <c r="B80" s="155" t="s">
        <v>713</v>
      </c>
      <c r="C80" s="133">
        <v>1000000</v>
      </c>
      <c r="D80" s="133">
        <v>1000000</v>
      </c>
      <c r="E80" s="130">
        <v>580785</v>
      </c>
      <c r="F80" s="130"/>
      <c r="G80" s="126">
        <f t="shared" si="48"/>
        <v>58.078499999999998</v>
      </c>
      <c r="H80" s="126">
        <f t="shared" ref="H80:H81" si="51">E80/D80*100</f>
        <v>58.078499999999998</v>
      </c>
      <c r="I80" s="126">
        <f t="shared" si="50"/>
        <v>102.98245458494766</v>
      </c>
      <c r="J80" s="14">
        <v>563965</v>
      </c>
      <c r="K80" s="378"/>
      <c r="L80" s="378"/>
      <c r="M80" s="378"/>
      <c r="N80" s="378"/>
      <c r="O80" s="378"/>
      <c r="P80" s="378"/>
      <c r="Q80" s="378"/>
      <c r="R80" s="378"/>
      <c r="S80" s="378"/>
      <c r="T80" s="378"/>
      <c r="U80" s="378"/>
      <c r="V80" s="378"/>
      <c r="W80" s="378"/>
      <c r="X80" s="378"/>
      <c r="Y80" s="378"/>
      <c r="Z80" s="378"/>
      <c r="AA80" s="378"/>
      <c r="AB80" s="378"/>
      <c r="AC80" s="378"/>
      <c r="AD80" s="378"/>
      <c r="AE80" s="378"/>
    </row>
    <row r="81" spans="1:10" ht="12.75" customHeight="1" x14ac:dyDescent="0.2">
      <c r="A81" s="132"/>
      <c r="B81" s="185" t="s">
        <v>712</v>
      </c>
      <c r="C81" s="130">
        <v>182000</v>
      </c>
      <c r="D81" s="130">
        <v>182000</v>
      </c>
      <c r="E81" s="130">
        <v>172250</v>
      </c>
      <c r="F81" s="130"/>
      <c r="G81" s="126">
        <f t="shared" si="48"/>
        <v>94.642857142857139</v>
      </c>
      <c r="H81" s="126">
        <f t="shared" si="51"/>
        <v>94.642857142857139</v>
      </c>
      <c r="I81" s="126">
        <f t="shared" si="50"/>
        <v>129.21980495123782</v>
      </c>
      <c r="J81" s="14">
        <v>133300</v>
      </c>
    </row>
    <row r="82" spans="1:10" ht="12.75" customHeight="1" x14ac:dyDescent="0.2">
      <c r="A82" s="132"/>
      <c r="B82" s="185" t="s">
        <v>711</v>
      </c>
      <c r="C82" s="126">
        <v>4000</v>
      </c>
      <c r="D82" s="126">
        <v>4000</v>
      </c>
      <c r="E82" s="130">
        <v>3200</v>
      </c>
      <c r="F82" s="130"/>
      <c r="G82" s="126">
        <f t="shared" si="48"/>
        <v>80</v>
      </c>
      <c r="H82" s="126">
        <f t="shared" si="49"/>
        <v>80</v>
      </c>
      <c r="I82" s="126">
        <f t="shared" si="50"/>
        <v>133.33333333333331</v>
      </c>
      <c r="J82" s="14">
        <v>2400</v>
      </c>
    </row>
    <row r="83" spans="1:10" ht="12.75" customHeight="1" x14ac:dyDescent="0.2">
      <c r="A83" s="382">
        <v>1381</v>
      </c>
      <c r="B83" s="381" t="s">
        <v>710</v>
      </c>
      <c r="C83" s="120">
        <v>2300000</v>
      </c>
      <c r="D83" s="120">
        <v>2300000</v>
      </c>
      <c r="E83" s="508">
        <v>1401125.03</v>
      </c>
      <c r="F83" s="509"/>
      <c r="G83" s="120">
        <f t="shared" si="48"/>
        <v>60.918479565217389</v>
      </c>
      <c r="H83" s="120">
        <f t="shared" ref="H83:H85" si="52">E83/D83*100</f>
        <v>60.918479565217389</v>
      </c>
      <c r="I83" s="120">
        <f t="shared" ref="I83:I85" si="53">E83/J83*100</f>
        <v>121.86338653040592</v>
      </c>
      <c r="J83" s="14">
        <v>1149750.6100000001</v>
      </c>
    </row>
    <row r="84" spans="1:10" ht="12.75" customHeight="1" x14ac:dyDescent="0.2">
      <c r="A84" s="382">
        <v>1383</v>
      </c>
      <c r="B84" s="381" t="s">
        <v>936</v>
      </c>
      <c r="C84" s="120">
        <v>0</v>
      </c>
      <c r="D84" s="120">
        <v>0</v>
      </c>
      <c r="E84" s="121">
        <v>20125.05</v>
      </c>
      <c r="F84" s="130"/>
      <c r="G84" s="120">
        <v>0</v>
      </c>
      <c r="H84" s="120">
        <v>0</v>
      </c>
      <c r="I84" s="120">
        <v>0</v>
      </c>
      <c r="J84" s="14">
        <v>0</v>
      </c>
    </row>
    <row r="85" spans="1:10" ht="12.75" customHeight="1" x14ac:dyDescent="0.2">
      <c r="A85" s="382">
        <v>1385</v>
      </c>
      <c r="B85" s="381" t="s">
        <v>709</v>
      </c>
      <c r="C85" s="120">
        <v>10400000</v>
      </c>
      <c r="D85" s="120">
        <v>10400000</v>
      </c>
      <c r="E85" s="121">
        <v>3675838.19</v>
      </c>
      <c r="F85" s="130"/>
      <c r="G85" s="120">
        <f t="shared" si="48"/>
        <v>35.34459798076923</v>
      </c>
      <c r="H85" s="120">
        <f t="shared" si="52"/>
        <v>35.34459798076923</v>
      </c>
      <c r="I85" s="120">
        <f t="shared" si="53"/>
        <v>76.109004370872043</v>
      </c>
      <c r="J85" s="14">
        <v>4829702.1100000003</v>
      </c>
    </row>
    <row r="86" spans="1:10" s="3" customFormat="1" ht="12.75" customHeight="1" x14ac:dyDescent="0.2">
      <c r="A86" s="124">
        <v>1511</v>
      </c>
      <c r="B86" s="184" t="s">
        <v>708</v>
      </c>
      <c r="C86" s="121">
        <v>12500000</v>
      </c>
      <c r="D86" s="121">
        <v>12500000</v>
      </c>
      <c r="E86" s="120">
        <v>9393022.7699999996</v>
      </c>
      <c r="F86" s="126"/>
      <c r="G86" s="120">
        <f t="shared" si="48"/>
        <v>75.14418216</v>
      </c>
      <c r="H86" s="120">
        <f>E86/D86*100</f>
        <v>75.14418216</v>
      </c>
      <c r="I86" s="120">
        <f t="shared" ref="I86:I155" si="54">E86/J86*100</f>
        <v>113.16891753973499</v>
      </c>
      <c r="J86" s="14">
        <v>8300002.3099999996</v>
      </c>
    </row>
    <row r="87" spans="1:10" s="3" customFormat="1" ht="12.75" customHeight="1" thickBot="1" x14ac:dyDescent="0.25">
      <c r="A87" s="159"/>
      <c r="B87" s="380"/>
      <c r="C87" s="379"/>
      <c r="D87" s="379"/>
      <c r="E87" s="117"/>
      <c r="F87" s="117"/>
      <c r="G87" s="151"/>
      <c r="H87" s="151"/>
      <c r="I87" s="151"/>
      <c r="J87" s="14"/>
    </row>
    <row r="88" spans="1:10" s="567" customFormat="1" ht="18.75" customHeight="1" thickBot="1" x14ac:dyDescent="0.3">
      <c r="A88" s="565"/>
      <c r="B88" s="388" t="s">
        <v>707</v>
      </c>
      <c r="C88" s="566">
        <f>SUM(C89,C98:C101,C113:C114,C127:C128,C143:C146,C162:C163)</f>
        <v>127407541.26000001</v>
      </c>
      <c r="D88" s="566">
        <f>SUM(D89,D98:D101,D113:D114,D127:D128,D143:D146,D162:D163)</f>
        <v>131185258.25000001</v>
      </c>
      <c r="E88" s="550">
        <v>79364493.769999996</v>
      </c>
      <c r="F88" s="317">
        <f>SUM(E89,E98:E101,E113:E114,E127:E128,E143:E146,E162:E163)</f>
        <v>79364493.769999996</v>
      </c>
      <c r="G88" s="550">
        <f>E88/C88*100</f>
        <v>62.291833736938088</v>
      </c>
      <c r="H88" s="550">
        <f t="shared" ref="H88:H161" si="55">E88/D88*100</f>
        <v>60.498027620416707</v>
      </c>
      <c r="I88" s="550">
        <f t="shared" si="54"/>
        <v>106.05990554675004</v>
      </c>
      <c r="J88" s="568">
        <v>74829874.079999998</v>
      </c>
    </row>
    <row r="89" spans="1:10" s="3" customFormat="1" ht="12.75" customHeight="1" x14ac:dyDescent="0.2">
      <c r="A89" s="248">
        <v>2111</v>
      </c>
      <c r="B89" s="137" t="s">
        <v>706</v>
      </c>
      <c r="C89" s="217">
        <f>SUM(C90:C97)</f>
        <v>13681500</v>
      </c>
      <c r="D89" s="217">
        <f>SUM(D90:D97)</f>
        <v>12381500</v>
      </c>
      <c r="E89" s="120">
        <v>3859551.51</v>
      </c>
      <c r="F89" s="14">
        <f>SUM(E90:E97)</f>
        <v>3859551.51</v>
      </c>
      <c r="G89" s="120">
        <f>E89/C89*100</f>
        <v>28.210002631290426</v>
      </c>
      <c r="H89" s="120">
        <f t="shared" si="55"/>
        <v>31.171921899608286</v>
      </c>
      <c r="I89" s="120">
        <f t="shared" si="54"/>
        <v>53.032591916127089</v>
      </c>
      <c r="J89" s="14">
        <v>7277697.2999999998</v>
      </c>
    </row>
    <row r="90" spans="1:10" ht="12.75" customHeight="1" x14ac:dyDescent="0.2">
      <c r="A90" s="180"/>
      <c r="B90" s="155" t="s">
        <v>704</v>
      </c>
      <c r="C90" s="9">
        <v>1000000</v>
      </c>
      <c r="D90" s="9">
        <v>1000000</v>
      </c>
      <c r="E90" s="127">
        <v>415597.93</v>
      </c>
      <c r="F90" s="127"/>
      <c r="G90" s="126">
        <f t="shared" ref="G90:G153" si="56">E90/C90*100</f>
        <v>41.559792999999999</v>
      </c>
      <c r="H90" s="126">
        <f t="shared" si="55"/>
        <v>41.559792999999999</v>
      </c>
      <c r="I90" s="126">
        <f t="shared" si="54"/>
        <v>174.64592840994092</v>
      </c>
      <c r="J90" s="14">
        <v>237966</v>
      </c>
    </row>
    <row r="91" spans="1:10" s="378" customFormat="1" ht="12.75" customHeight="1" x14ac:dyDescent="0.2">
      <c r="A91" s="237"/>
      <c r="B91" s="155" t="s">
        <v>703</v>
      </c>
      <c r="C91" s="133">
        <v>720000</v>
      </c>
      <c r="D91" s="133">
        <v>720000</v>
      </c>
      <c r="E91" s="130">
        <v>106672.5</v>
      </c>
      <c r="F91" s="130"/>
      <c r="G91" s="126">
        <f t="shared" si="56"/>
        <v>14.815624999999999</v>
      </c>
      <c r="H91" s="126">
        <f t="shared" si="55"/>
        <v>14.815624999999999</v>
      </c>
      <c r="I91" s="126">
        <f t="shared" si="54"/>
        <v>58.062246908939549</v>
      </c>
      <c r="J91" s="14">
        <v>183720.93</v>
      </c>
    </row>
    <row r="92" spans="1:10" ht="12.75" customHeight="1" x14ac:dyDescent="0.2">
      <c r="A92" s="237"/>
      <c r="B92" s="155" t="s">
        <v>701</v>
      </c>
      <c r="C92" s="126">
        <v>5200000</v>
      </c>
      <c r="D92" s="126">
        <f>5200000-1000000</f>
        <v>4200000</v>
      </c>
      <c r="E92" s="130">
        <v>734766.59</v>
      </c>
      <c r="F92" s="130"/>
      <c r="G92" s="126">
        <f t="shared" si="56"/>
        <v>14.130126730769229</v>
      </c>
      <c r="H92" s="126">
        <f t="shared" si="55"/>
        <v>17.494442619047618</v>
      </c>
      <c r="I92" s="126">
        <f t="shared" si="54"/>
        <v>34.24669159026886</v>
      </c>
      <c r="J92" s="14">
        <v>2145511.16</v>
      </c>
    </row>
    <row r="93" spans="1:10" ht="12.75" customHeight="1" x14ac:dyDescent="0.2">
      <c r="A93" s="237"/>
      <c r="B93" s="155" t="s">
        <v>700</v>
      </c>
      <c r="C93" s="126">
        <v>1600000</v>
      </c>
      <c r="D93" s="126">
        <f>1600000-300000</f>
        <v>1300000</v>
      </c>
      <c r="E93" s="130">
        <v>83888.49</v>
      </c>
      <c r="F93" s="130"/>
      <c r="G93" s="126">
        <f t="shared" si="56"/>
        <v>5.2430306250000003</v>
      </c>
      <c r="H93" s="126">
        <f t="shared" si="55"/>
        <v>6.4529607692307698</v>
      </c>
      <c r="I93" s="126">
        <f t="shared" si="54"/>
        <v>12.906156033388855</v>
      </c>
      <c r="J93" s="14">
        <v>649988.18999999994</v>
      </c>
    </row>
    <row r="94" spans="1:10" ht="12.75" customHeight="1" x14ac:dyDescent="0.2">
      <c r="A94" s="237"/>
      <c r="B94" s="155" t="s">
        <v>699</v>
      </c>
      <c r="C94" s="126">
        <v>2610000</v>
      </c>
      <c r="D94" s="126">
        <v>2610000</v>
      </c>
      <c r="E94" s="10">
        <v>1308528</v>
      </c>
      <c r="F94" s="10"/>
      <c r="G94" s="126">
        <f t="shared" si="56"/>
        <v>50.135172413793107</v>
      </c>
      <c r="H94" s="126">
        <f t="shared" si="55"/>
        <v>50.135172413793107</v>
      </c>
      <c r="I94" s="126">
        <f t="shared" si="54"/>
        <v>97.709677419354833</v>
      </c>
      <c r="J94" s="14">
        <v>1339200</v>
      </c>
    </row>
    <row r="95" spans="1:10" ht="12.75" customHeight="1" x14ac:dyDescent="0.2">
      <c r="A95" s="237"/>
      <c r="B95" s="155" t="s">
        <v>696</v>
      </c>
      <c r="C95" s="126">
        <v>2500000</v>
      </c>
      <c r="D95" s="126">
        <v>2500000</v>
      </c>
      <c r="E95" s="130">
        <v>1209898</v>
      </c>
      <c r="F95" s="130"/>
      <c r="G95" s="126">
        <f t="shared" si="56"/>
        <v>48.395919999999997</v>
      </c>
      <c r="H95" s="126">
        <f t="shared" si="55"/>
        <v>48.395919999999997</v>
      </c>
      <c r="I95" s="126">
        <f t="shared" si="54"/>
        <v>106.63549004901239</v>
      </c>
      <c r="J95" s="14">
        <v>1134611</v>
      </c>
    </row>
    <row r="96" spans="1:10" ht="12.75" customHeight="1" x14ac:dyDescent="0.2">
      <c r="A96" s="237"/>
      <c r="B96" s="155" t="s">
        <v>695</v>
      </c>
      <c r="C96" s="126">
        <v>51000</v>
      </c>
      <c r="D96" s="126">
        <v>51000</v>
      </c>
      <c r="E96" s="130">
        <v>0</v>
      </c>
      <c r="F96" s="130"/>
      <c r="G96" s="126">
        <f t="shared" si="56"/>
        <v>0</v>
      </c>
      <c r="H96" s="126">
        <f t="shared" si="55"/>
        <v>0</v>
      </c>
      <c r="I96" s="126">
        <v>0</v>
      </c>
      <c r="J96" s="14">
        <v>0</v>
      </c>
    </row>
    <row r="97" spans="1:10" ht="12.75" customHeight="1" x14ac:dyDescent="0.2">
      <c r="A97" s="237"/>
      <c r="B97" s="155" t="s">
        <v>694</v>
      </c>
      <c r="C97" s="126">
        <v>500</v>
      </c>
      <c r="D97" s="126">
        <v>500</v>
      </c>
      <c r="E97" s="130">
        <v>200</v>
      </c>
      <c r="F97" s="130"/>
      <c r="G97" s="126">
        <f t="shared" si="56"/>
        <v>40</v>
      </c>
      <c r="H97" s="126">
        <f t="shared" si="55"/>
        <v>40</v>
      </c>
      <c r="I97" s="126">
        <f t="shared" si="54"/>
        <v>202.02020202020202</v>
      </c>
      <c r="J97" s="6">
        <v>99</v>
      </c>
    </row>
    <row r="98" spans="1:10" s="3" customFormat="1" ht="12.75" customHeight="1" x14ac:dyDescent="0.2">
      <c r="A98" s="180">
        <v>2119</v>
      </c>
      <c r="B98" s="123" t="s">
        <v>693</v>
      </c>
      <c r="C98" s="120">
        <v>1700000</v>
      </c>
      <c r="D98" s="120">
        <v>1700000</v>
      </c>
      <c r="E98" s="121">
        <v>354140.38</v>
      </c>
      <c r="F98" s="130"/>
      <c r="G98" s="120">
        <f t="shared" si="56"/>
        <v>20.831787058823529</v>
      </c>
      <c r="H98" s="120">
        <f t="shared" si="55"/>
        <v>20.831787058823529</v>
      </c>
      <c r="I98" s="120">
        <f t="shared" si="54"/>
        <v>134.19289091433939</v>
      </c>
      <c r="J98" s="14">
        <v>263903.98</v>
      </c>
    </row>
    <row r="99" spans="1:10" s="3" customFormat="1" ht="12.75" customHeight="1" x14ac:dyDescent="0.2">
      <c r="A99" s="180">
        <v>2122</v>
      </c>
      <c r="B99" s="123" t="s">
        <v>692</v>
      </c>
      <c r="C99" s="120">
        <v>2798840.36</v>
      </c>
      <c r="D99" s="120">
        <f>2798840.36+(25236+27775+35940)+1380+1155128.5</f>
        <v>4044299.86</v>
      </c>
      <c r="E99" s="121">
        <v>770545.12</v>
      </c>
      <c r="F99" s="130"/>
      <c r="G99" s="120">
        <f t="shared" si="56"/>
        <v>27.530870678169013</v>
      </c>
      <c r="H99" s="120">
        <f t="shared" si="55"/>
        <v>19.05262089047967</v>
      </c>
      <c r="I99" s="120">
        <f t="shared" si="54"/>
        <v>115.30633805641142</v>
      </c>
      <c r="J99" s="14">
        <v>668259.12</v>
      </c>
    </row>
    <row r="100" spans="1:10" s="3" customFormat="1" ht="27" customHeight="1" x14ac:dyDescent="0.2">
      <c r="A100" s="180">
        <v>2131</v>
      </c>
      <c r="B100" s="135" t="s">
        <v>691</v>
      </c>
      <c r="C100" s="120">
        <v>1650000</v>
      </c>
      <c r="D100" s="120">
        <v>1650000</v>
      </c>
      <c r="E100" s="121">
        <v>988837.18</v>
      </c>
      <c r="F100" s="130"/>
      <c r="G100" s="120">
        <f t="shared" si="56"/>
        <v>59.929526060606065</v>
      </c>
      <c r="H100" s="120">
        <f t="shared" si="55"/>
        <v>59.929526060606065</v>
      </c>
      <c r="I100" s="120">
        <f t="shared" si="54"/>
        <v>130.86744729798926</v>
      </c>
      <c r="J100" s="6">
        <v>755602.1</v>
      </c>
    </row>
    <row r="101" spans="1:10" s="3" customFormat="1" ht="12.75" customHeight="1" x14ac:dyDescent="0.2">
      <c r="A101" s="180">
        <v>2132</v>
      </c>
      <c r="B101" s="123" t="s">
        <v>690</v>
      </c>
      <c r="C101" s="122">
        <f>SUM(C102:C112)</f>
        <v>92969200.900000006</v>
      </c>
      <c r="D101" s="122">
        <f>SUM(D102:D112)</f>
        <v>91392091.900000006</v>
      </c>
      <c r="E101" s="121">
        <v>60368152.390000001</v>
      </c>
      <c r="F101" s="130">
        <f>SUM(E102:E112)</f>
        <v>60368152.390000001</v>
      </c>
      <c r="G101" s="120">
        <f t="shared" si="56"/>
        <v>64.933496045570507</v>
      </c>
      <c r="H101" s="120">
        <f t="shared" si="55"/>
        <v>66.05402189070584</v>
      </c>
      <c r="I101" s="120">
        <f t="shared" si="54"/>
        <v>107.95073420531986</v>
      </c>
      <c r="J101" s="14">
        <v>55921947.020000003</v>
      </c>
    </row>
    <row r="102" spans="1:10" ht="12.75" customHeight="1" x14ac:dyDescent="0.2">
      <c r="A102" s="237"/>
      <c r="B102" s="155" t="s">
        <v>689</v>
      </c>
      <c r="C102" s="126">
        <v>750000</v>
      </c>
      <c r="D102" s="126">
        <v>750000</v>
      </c>
      <c r="E102" s="130">
        <v>622558.42000000004</v>
      </c>
      <c r="F102" s="130"/>
      <c r="G102" s="126">
        <f t="shared" si="56"/>
        <v>83.007789333333335</v>
      </c>
      <c r="H102" s="126">
        <f t="shared" si="55"/>
        <v>83.007789333333335</v>
      </c>
      <c r="I102" s="126">
        <f t="shared" si="54"/>
        <v>87.256971142727807</v>
      </c>
      <c r="J102" s="14">
        <v>713477</v>
      </c>
    </row>
    <row r="103" spans="1:10" ht="12.75" customHeight="1" x14ac:dyDescent="0.2">
      <c r="A103" s="237"/>
      <c r="B103" s="155" t="s">
        <v>688</v>
      </c>
      <c r="C103" s="126">
        <v>0</v>
      </c>
      <c r="D103" s="126">
        <v>0</v>
      </c>
      <c r="E103" s="130">
        <v>14858.71</v>
      </c>
      <c r="F103" s="130"/>
      <c r="G103" s="126">
        <v>0</v>
      </c>
      <c r="H103" s="126">
        <v>0</v>
      </c>
      <c r="I103" s="126">
        <f t="shared" si="54"/>
        <v>4936.4485049833884</v>
      </c>
      <c r="J103" s="6">
        <v>301</v>
      </c>
    </row>
    <row r="104" spans="1:10" ht="12.75" customHeight="1" x14ac:dyDescent="0.2">
      <c r="A104" s="237"/>
      <c r="B104" s="155" t="s">
        <v>687</v>
      </c>
      <c r="C104" s="126">
        <v>600000</v>
      </c>
      <c r="D104" s="126">
        <v>600000</v>
      </c>
      <c r="E104" s="130">
        <v>555078.24</v>
      </c>
      <c r="F104" s="130"/>
      <c r="G104" s="126">
        <f t="shared" si="56"/>
        <v>92.513040000000004</v>
      </c>
      <c r="H104" s="126">
        <f t="shared" si="55"/>
        <v>92.513040000000004</v>
      </c>
      <c r="I104" s="126">
        <f t="shared" si="54"/>
        <v>133.28518774450481</v>
      </c>
      <c r="J104" s="14">
        <v>416459.06</v>
      </c>
    </row>
    <row r="105" spans="1:10" ht="12.75" customHeight="1" x14ac:dyDescent="0.2">
      <c r="A105" s="237"/>
      <c r="B105" s="155" t="s">
        <v>686</v>
      </c>
      <c r="C105" s="126">
        <v>276000</v>
      </c>
      <c r="D105" s="126">
        <f>276000-960</f>
        <v>275040</v>
      </c>
      <c r="E105" s="130">
        <v>277560</v>
      </c>
      <c r="F105" s="130"/>
      <c r="G105" s="126">
        <f t="shared" si="56"/>
        <v>100.56521739130434</v>
      </c>
      <c r="H105" s="126">
        <f t="shared" si="55"/>
        <v>100.91623036649216</v>
      </c>
      <c r="I105" s="126">
        <f t="shared" si="54"/>
        <v>100.91623036649216</v>
      </c>
      <c r="J105" s="14">
        <v>275040</v>
      </c>
    </row>
    <row r="106" spans="1:10" ht="25.5" customHeight="1" x14ac:dyDescent="0.2">
      <c r="A106" s="237"/>
      <c r="B106" s="128" t="s">
        <v>685</v>
      </c>
      <c r="C106" s="126">
        <v>52865000</v>
      </c>
      <c r="D106" s="126">
        <f>52865000-220825</f>
        <v>52644175</v>
      </c>
      <c r="E106" s="130">
        <v>30657863.82</v>
      </c>
      <c r="F106" s="130"/>
      <c r="G106" s="126">
        <f t="shared" si="56"/>
        <v>57.992743440839881</v>
      </c>
      <c r="H106" s="126">
        <f t="shared" si="55"/>
        <v>58.236003926360326</v>
      </c>
      <c r="I106" s="126">
        <f t="shared" si="54"/>
        <v>105.77535609413862</v>
      </c>
      <c r="J106" s="6">
        <v>28983938.18</v>
      </c>
    </row>
    <row r="107" spans="1:10" ht="12.75" customHeight="1" x14ac:dyDescent="0.2">
      <c r="A107" s="237"/>
      <c r="B107" s="155" t="s">
        <v>684</v>
      </c>
      <c r="C107" s="126">
        <f>83405+3+1194792.9</f>
        <v>1278200.8999999999</v>
      </c>
      <c r="D107" s="126">
        <f>83405+3+1194792.9</f>
        <v>1278200.8999999999</v>
      </c>
      <c r="E107" s="130">
        <v>1533200.41</v>
      </c>
      <c r="F107" s="130"/>
      <c r="G107" s="126">
        <f t="shared" si="56"/>
        <v>119.94987720631396</v>
      </c>
      <c r="H107" s="126">
        <f t="shared" si="55"/>
        <v>119.94987720631396</v>
      </c>
      <c r="I107" s="126">
        <f t="shared" si="54"/>
        <v>23844.485381026436</v>
      </c>
      <c r="J107" s="14">
        <v>6430</v>
      </c>
    </row>
    <row r="108" spans="1:10" ht="12.75" customHeight="1" x14ac:dyDescent="0.2">
      <c r="A108" s="237"/>
      <c r="B108" s="155" t="s">
        <v>683</v>
      </c>
      <c r="C108" s="126">
        <v>420000</v>
      </c>
      <c r="D108" s="126">
        <v>420000</v>
      </c>
      <c r="E108" s="130">
        <v>222667.95</v>
      </c>
      <c r="F108" s="130"/>
      <c r="G108" s="126">
        <f t="shared" si="56"/>
        <v>53.016178571428576</v>
      </c>
      <c r="H108" s="126">
        <f t="shared" si="55"/>
        <v>53.016178571428576</v>
      </c>
      <c r="I108" s="126">
        <f t="shared" si="54"/>
        <v>143.5713031161327</v>
      </c>
      <c r="J108" s="6">
        <v>155092.24</v>
      </c>
    </row>
    <row r="109" spans="1:10" ht="36.75" customHeight="1" x14ac:dyDescent="0.2">
      <c r="A109" s="237"/>
      <c r="B109" s="166" t="s">
        <v>682</v>
      </c>
      <c r="C109" s="126">
        <f>13500000+3000000+240000+20000+746000+216000+134000</f>
        <v>17856000</v>
      </c>
      <c r="D109" s="126">
        <f>(13500000+3000000+240000+20000+746000+216000+134000)-1355324</f>
        <v>16500676</v>
      </c>
      <c r="E109" s="130">
        <v>7586532.8399999999</v>
      </c>
      <c r="F109" s="130"/>
      <c r="G109" s="126">
        <f t="shared" si="56"/>
        <v>42.487303091397848</v>
      </c>
      <c r="H109" s="126">
        <f t="shared" si="55"/>
        <v>45.97710324110357</v>
      </c>
      <c r="I109" s="126">
        <f t="shared" si="54"/>
        <v>117.25186544027994</v>
      </c>
      <c r="J109" s="6">
        <v>6470287.54</v>
      </c>
    </row>
    <row r="110" spans="1:10" ht="12.75" customHeight="1" x14ac:dyDescent="0.2">
      <c r="A110" s="237"/>
      <c r="B110" s="155" t="s">
        <v>681</v>
      </c>
      <c r="C110" s="126">
        <v>18881000</v>
      </c>
      <c r="D110" s="126">
        <v>18881000</v>
      </c>
      <c r="E110" s="130">
        <v>18881538</v>
      </c>
      <c r="F110" s="130"/>
      <c r="G110" s="126">
        <f t="shared" si="56"/>
        <v>100.00284942534823</v>
      </c>
      <c r="H110" s="126">
        <f>E110/D110*100</f>
        <v>100.00284942534823</v>
      </c>
      <c r="I110" s="126">
        <f>E110/J110*100</f>
        <v>100</v>
      </c>
      <c r="J110" s="14">
        <v>18881538</v>
      </c>
    </row>
    <row r="111" spans="1:10" ht="12.75" customHeight="1" x14ac:dyDescent="0.2">
      <c r="A111" s="237"/>
      <c r="B111" s="155" t="s">
        <v>680</v>
      </c>
      <c r="C111" s="126">
        <v>18000</v>
      </c>
      <c r="D111" s="126">
        <v>18000</v>
      </c>
      <c r="E111" s="130">
        <v>8600</v>
      </c>
      <c r="F111" s="130"/>
      <c r="G111" s="126">
        <f t="shared" si="56"/>
        <v>47.777777777777779</v>
      </c>
      <c r="H111" s="126">
        <f t="shared" si="55"/>
        <v>47.777777777777779</v>
      </c>
      <c r="I111" s="126">
        <f t="shared" si="54"/>
        <v>92.473118279569889</v>
      </c>
      <c r="J111" s="14">
        <v>9300</v>
      </c>
    </row>
    <row r="112" spans="1:10" ht="12.75" customHeight="1" x14ac:dyDescent="0.2">
      <c r="A112" s="237"/>
      <c r="B112" s="155" t="s">
        <v>679</v>
      </c>
      <c r="C112" s="126">
        <v>25000</v>
      </c>
      <c r="D112" s="126">
        <v>25000</v>
      </c>
      <c r="E112" s="130">
        <v>7694</v>
      </c>
      <c r="F112" s="130"/>
      <c r="G112" s="126">
        <f t="shared" si="56"/>
        <v>30.775999999999996</v>
      </c>
      <c r="H112" s="126">
        <f t="shared" si="55"/>
        <v>30.775999999999996</v>
      </c>
      <c r="I112" s="126">
        <f t="shared" si="54"/>
        <v>76.223499108381219</v>
      </c>
      <c r="J112" s="14">
        <v>10094</v>
      </c>
    </row>
    <row r="113" spans="1:44" s="3" customFormat="1" ht="12.75" customHeight="1" x14ac:dyDescent="0.2">
      <c r="A113" s="180">
        <v>2141</v>
      </c>
      <c r="B113" s="123" t="s">
        <v>678</v>
      </c>
      <c r="C113" s="120">
        <v>300000</v>
      </c>
      <c r="D113" s="120">
        <v>300000</v>
      </c>
      <c r="E113" s="121">
        <v>72803.08</v>
      </c>
      <c r="F113" s="130"/>
      <c r="G113" s="120">
        <f t="shared" si="56"/>
        <v>24.267693333333334</v>
      </c>
      <c r="H113" s="120">
        <f t="shared" si="55"/>
        <v>24.267693333333334</v>
      </c>
      <c r="I113" s="120">
        <f t="shared" si="54"/>
        <v>8.3128438394442128</v>
      </c>
      <c r="J113" s="14">
        <v>875790.3</v>
      </c>
    </row>
    <row r="114" spans="1:44" s="3" customFormat="1" ht="12.75" customHeight="1" x14ac:dyDescent="0.2">
      <c r="A114" s="180">
        <v>2212</v>
      </c>
      <c r="B114" s="123" t="s">
        <v>677</v>
      </c>
      <c r="C114" s="122">
        <f>SUM(C115:C126)</f>
        <v>11127000</v>
      </c>
      <c r="D114" s="122">
        <f>SUM(D115:D126)</f>
        <v>11297684.550000001</v>
      </c>
      <c r="E114" s="121">
        <v>4866358.24</v>
      </c>
      <c r="F114" s="130">
        <f>SUM(E115:E126)</f>
        <v>4866358.24</v>
      </c>
      <c r="G114" s="120">
        <f t="shared" si="56"/>
        <v>43.734683562505616</v>
      </c>
      <c r="H114" s="120">
        <f t="shared" si="55"/>
        <v>43.073943324076971</v>
      </c>
      <c r="I114" s="120">
        <f t="shared" si="54"/>
        <v>122.28014433010306</v>
      </c>
      <c r="J114" s="14">
        <v>3979679.83</v>
      </c>
    </row>
    <row r="115" spans="1:44" ht="12.75" customHeight="1" x14ac:dyDescent="0.2">
      <c r="A115" s="237"/>
      <c r="B115" s="155" t="s">
        <v>676</v>
      </c>
      <c r="C115" s="126">
        <v>12000</v>
      </c>
      <c r="D115" s="126">
        <v>12000</v>
      </c>
      <c r="E115" s="130">
        <v>4000</v>
      </c>
      <c r="F115" s="130"/>
      <c r="G115" s="126">
        <f t="shared" si="56"/>
        <v>33.333333333333329</v>
      </c>
      <c r="H115" s="126">
        <f>E115/D115*100</f>
        <v>33.333333333333329</v>
      </c>
      <c r="I115" s="126">
        <f>E115/J115*100</f>
        <v>71.428571428571431</v>
      </c>
      <c r="J115" s="14">
        <v>5600</v>
      </c>
    </row>
    <row r="116" spans="1:44" ht="12.75" customHeight="1" x14ac:dyDescent="0.2">
      <c r="A116" s="237"/>
      <c r="B116" s="155" t="s">
        <v>656</v>
      </c>
      <c r="C116" s="126">
        <v>50000</v>
      </c>
      <c r="D116" s="126">
        <v>50000</v>
      </c>
      <c r="E116" s="130">
        <v>45600</v>
      </c>
      <c r="F116" s="130"/>
      <c r="G116" s="126">
        <f t="shared" si="56"/>
        <v>91.2</v>
      </c>
      <c r="H116" s="126">
        <f t="shared" si="55"/>
        <v>91.2</v>
      </c>
      <c r="I116" s="126">
        <f t="shared" si="54"/>
        <v>98.915401301518429</v>
      </c>
      <c r="J116" s="14">
        <v>46100</v>
      </c>
    </row>
    <row r="117" spans="1:44" ht="12.75" customHeight="1" x14ac:dyDescent="0.2">
      <c r="A117" s="237"/>
      <c r="B117" s="15" t="s">
        <v>951</v>
      </c>
      <c r="C117" s="126">
        <v>0</v>
      </c>
      <c r="D117" s="126">
        <v>10000</v>
      </c>
      <c r="E117" s="130">
        <v>10000</v>
      </c>
      <c r="F117" s="130"/>
      <c r="G117" s="126">
        <v>0</v>
      </c>
      <c r="H117" s="126">
        <f t="shared" ref="H117" si="57">E117/D117*100</f>
        <v>100</v>
      </c>
      <c r="I117" s="126">
        <v>0</v>
      </c>
      <c r="J117" s="14">
        <v>0</v>
      </c>
    </row>
    <row r="118" spans="1:44" ht="12.75" customHeight="1" x14ac:dyDescent="0.2">
      <c r="A118" s="237"/>
      <c r="B118" s="155" t="s">
        <v>675</v>
      </c>
      <c r="C118" s="126">
        <v>2000000</v>
      </c>
      <c r="D118" s="126">
        <v>2000000</v>
      </c>
      <c r="E118" s="130">
        <v>1612800.69</v>
      </c>
      <c r="F118" s="130"/>
      <c r="G118" s="126">
        <f t="shared" si="56"/>
        <v>80.640034499999999</v>
      </c>
      <c r="H118" s="126">
        <f t="shared" si="55"/>
        <v>80.640034499999999</v>
      </c>
      <c r="I118" s="126">
        <f t="shared" si="54"/>
        <v>174.47337390652501</v>
      </c>
      <c r="J118" s="14">
        <v>924382.13</v>
      </c>
    </row>
    <row r="119" spans="1:44" ht="12.75" customHeight="1" x14ac:dyDescent="0.2">
      <c r="A119" s="237"/>
      <c r="B119" s="155" t="s">
        <v>674</v>
      </c>
      <c r="C119" s="126">
        <v>8000000</v>
      </c>
      <c r="D119" s="126">
        <v>8000000</v>
      </c>
      <c r="E119" s="130">
        <v>2506695.84</v>
      </c>
      <c r="F119" s="130"/>
      <c r="G119" s="126">
        <f t="shared" si="56"/>
        <v>31.333697999999998</v>
      </c>
      <c r="H119" s="126">
        <f t="shared" si="55"/>
        <v>31.333697999999998</v>
      </c>
      <c r="I119" s="126">
        <f t="shared" si="54"/>
        <v>96.970613209411681</v>
      </c>
      <c r="J119" s="14">
        <v>2585005.66</v>
      </c>
    </row>
    <row r="120" spans="1:44" ht="12.75" customHeight="1" x14ac:dyDescent="0.2">
      <c r="A120" s="237"/>
      <c r="B120" s="15" t="s">
        <v>940</v>
      </c>
      <c r="C120" s="126">
        <v>0</v>
      </c>
      <c r="D120" s="126">
        <f>143744.55</f>
        <v>143744.54999999999</v>
      </c>
      <c r="E120" s="130">
        <v>143744.54999999999</v>
      </c>
      <c r="F120" s="130"/>
      <c r="G120" s="126">
        <v>0</v>
      </c>
      <c r="H120" s="126">
        <f t="shared" si="55"/>
        <v>100</v>
      </c>
      <c r="I120" s="126">
        <v>0</v>
      </c>
      <c r="J120" s="14">
        <v>0</v>
      </c>
    </row>
    <row r="121" spans="1:44" ht="12.75" customHeight="1" x14ac:dyDescent="0.2">
      <c r="A121" s="237"/>
      <c r="B121" s="15" t="s">
        <v>941</v>
      </c>
      <c r="C121" s="126">
        <v>0</v>
      </c>
      <c r="D121" s="126">
        <v>16940</v>
      </c>
      <c r="E121" s="130">
        <v>16940</v>
      </c>
      <c r="F121" s="130"/>
      <c r="G121" s="126">
        <v>0</v>
      </c>
      <c r="H121" s="126">
        <f t="shared" si="55"/>
        <v>100</v>
      </c>
      <c r="I121" s="126">
        <f t="shared" si="54"/>
        <v>454.5454545454545</v>
      </c>
      <c r="J121" s="14">
        <v>3726.8</v>
      </c>
    </row>
    <row r="122" spans="1:44" ht="12.75" customHeight="1" x14ac:dyDescent="0.2">
      <c r="A122" s="237"/>
      <c r="B122" s="155" t="s">
        <v>671</v>
      </c>
      <c r="C122" s="9">
        <v>0</v>
      </c>
      <c r="D122" s="9">
        <v>0</v>
      </c>
      <c r="E122" s="130">
        <v>3000</v>
      </c>
      <c r="F122" s="130"/>
      <c r="G122" s="126">
        <v>0</v>
      </c>
      <c r="H122" s="126">
        <v>0</v>
      </c>
      <c r="I122" s="126">
        <f t="shared" si="54"/>
        <v>60</v>
      </c>
      <c r="J122" s="14">
        <v>5000</v>
      </c>
    </row>
    <row r="123" spans="1:44" ht="12.75" customHeight="1" x14ac:dyDescent="0.2">
      <c r="A123" s="237"/>
      <c r="B123" s="155" t="s">
        <v>670</v>
      </c>
      <c r="C123" s="126">
        <v>650000</v>
      </c>
      <c r="D123" s="126">
        <v>650000</v>
      </c>
      <c r="E123" s="130">
        <v>222135.95</v>
      </c>
      <c r="F123" s="130"/>
      <c r="G123" s="126">
        <f t="shared" si="56"/>
        <v>34.174761538461539</v>
      </c>
      <c r="H123" s="126">
        <f t="shared" si="55"/>
        <v>34.174761538461539</v>
      </c>
      <c r="I123" s="126">
        <f t="shared" si="54"/>
        <v>104.59165944703932</v>
      </c>
      <c r="J123" s="14">
        <v>212384</v>
      </c>
    </row>
    <row r="124" spans="1:44" ht="12.75" customHeight="1" x14ac:dyDescent="0.2">
      <c r="A124" s="237"/>
      <c r="B124" s="155" t="s">
        <v>669</v>
      </c>
      <c r="C124" s="126">
        <v>350000</v>
      </c>
      <c r="D124" s="126">
        <v>350000</v>
      </c>
      <c r="E124" s="130">
        <v>273045.61</v>
      </c>
      <c r="F124" s="130"/>
      <c r="G124" s="126">
        <f t="shared" si="56"/>
        <v>78.013031428571423</v>
      </c>
      <c r="H124" s="126">
        <f t="shared" si="55"/>
        <v>78.013031428571423</v>
      </c>
      <c r="I124" s="126">
        <f t="shared" si="54"/>
        <v>166.51027276046943</v>
      </c>
      <c r="J124" s="14">
        <v>163981.24</v>
      </c>
    </row>
    <row r="125" spans="1:44" s="377" customFormat="1" ht="12.75" customHeight="1" x14ac:dyDescent="0.2">
      <c r="A125" s="16"/>
      <c r="B125" s="15" t="s">
        <v>668</v>
      </c>
      <c r="C125" s="9">
        <v>65000</v>
      </c>
      <c r="D125" s="9">
        <v>65000</v>
      </c>
      <c r="E125" s="130">
        <v>26750</v>
      </c>
      <c r="F125" s="130"/>
      <c r="G125" s="126">
        <f t="shared" ref="G125" si="58">E125/C125*100</f>
        <v>41.153846153846153</v>
      </c>
      <c r="H125" s="126">
        <f t="shared" ref="H125" si="59">E125/D125*100</f>
        <v>41.153846153846153</v>
      </c>
      <c r="I125" s="126">
        <f t="shared" ref="I125" si="60">E125/J125*100</f>
        <v>79.850746268656707</v>
      </c>
      <c r="J125" s="14">
        <v>33500</v>
      </c>
      <c r="K125" s="375"/>
      <c r="L125" s="375"/>
      <c r="M125" s="375"/>
      <c r="N125" s="375"/>
      <c r="O125" s="375"/>
      <c r="P125" s="375"/>
      <c r="Q125" s="375"/>
      <c r="R125" s="375"/>
      <c r="S125" s="375"/>
      <c r="T125" s="375"/>
      <c r="U125" s="375"/>
      <c r="V125" s="375"/>
      <c r="W125" s="375"/>
      <c r="X125" s="375"/>
      <c r="Y125" s="375"/>
      <c r="Z125" s="375"/>
      <c r="AA125" s="375"/>
      <c r="AB125" s="375"/>
      <c r="AC125" s="375"/>
      <c r="AD125" s="375"/>
      <c r="AE125" s="375"/>
      <c r="AF125" s="375"/>
      <c r="AG125" s="375"/>
      <c r="AH125" s="375"/>
      <c r="AI125" s="375"/>
      <c r="AJ125" s="375"/>
      <c r="AK125" s="375"/>
      <c r="AL125" s="375"/>
      <c r="AM125" s="375"/>
      <c r="AN125" s="375"/>
      <c r="AO125" s="375"/>
      <c r="AP125" s="375"/>
      <c r="AQ125" s="375"/>
      <c r="AR125" s="375"/>
    </row>
    <row r="126" spans="1:44" s="377" customFormat="1" ht="12.75" customHeight="1" x14ac:dyDescent="0.2">
      <c r="A126" s="16"/>
      <c r="B126" s="15" t="s">
        <v>942</v>
      </c>
      <c r="C126" s="9">
        <v>0</v>
      </c>
      <c r="D126" s="9">
        <v>0</v>
      </c>
      <c r="E126" s="130">
        <v>1645.6</v>
      </c>
      <c r="F126" s="130"/>
      <c r="G126" s="126">
        <v>0</v>
      </c>
      <c r="H126" s="126">
        <v>0</v>
      </c>
      <c r="I126" s="126">
        <v>0</v>
      </c>
      <c r="J126" s="14">
        <v>0</v>
      </c>
      <c r="K126" s="375"/>
      <c r="L126" s="375"/>
      <c r="M126" s="375"/>
      <c r="N126" s="375"/>
      <c r="O126" s="375"/>
      <c r="P126" s="375"/>
      <c r="Q126" s="375"/>
      <c r="R126" s="375"/>
      <c r="S126" s="375"/>
      <c r="T126" s="375"/>
      <c r="U126" s="375"/>
      <c r="V126" s="375"/>
      <c r="W126" s="375"/>
      <c r="X126" s="375"/>
      <c r="Y126" s="375"/>
      <c r="Z126" s="375"/>
      <c r="AA126" s="375"/>
      <c r="AB126" s="375"/>
      <c r="AC126" s="375"/>
      <c r="AD126" s="375"/>
      <c r="AE126" s="375"/>
      <c r="AF126" s="375"/>
      <c r="AG126" s="375"/>
      <c r="AH126" s="375"/>
      <c r="AI126" s="375"/>
      <c r="AJ126" s="375"/>
      <c r="AK126" s="375"/>
      <c r="AL126" s="375"/>
      <c r="AM126" s="375"/>
      <c r="AN126" s="375"/>
      <c r="AO126" s="375"/>
      <c r="AP126" s="375"/>
      <c r="AQ126" s="375"/>
      <c r="AR126" s="375"/>
    </row>
    <row r="127" spans="1:44" s="3" customFormat="1" ht="12.75" customHeight="1" x14ac:dyDescent="0.2">
      <c r="A127" s="180">
        <v>2222</v>
      </c>
      <c r="B127" s="123" t="s">
        <v>905</v>
      </c>
      <c r="C127" s="120">
        <v>0</v>
      </c>
      <c r="D127" s="120">
        <f>84689.93</f>
        <v>84689.93</v>
      </c>
      <c r="E127" s="121">
        <v>84689.93</v>
      </c>
      <c r="F127" s="130"/>
      <c r="G127" s="120">
        <v>0</v>
      </c>
      <c r="H127" s="120">
        <f t="shared" si="55"/>
        <v>100</v>
      </c>
      <c r="I127" s="120">
        <f t="shared" si="54"/>
        <v>468.7763372092702</v>
      </c>
      <c r="J127" s="14">
        <v>18066.169999999998</v>
      </c>
    </row>
    <row r="128" spans="1:44" s="375" customFormat="1" ht="12.75" customHeight="1" x14ac:dyDescent="0.2">
      <c r="A128" s="20">
        <v>2229</v>
      </c>
      <c r="B128" s="19" t="s">
        <v>667</v>
      </c>
      <c r="C128" s="25">
        <f>SUM(C129:C142)</f>
        <v>0</v>
      </c>
      <c r="D128" s="25">
        <f>SUM(D129:D142)</f>
        <v>4926750.0100000007</v>
      </c>
      <c r="E128" s="121">
        <v>5363389.0599999996</v>
      </c>
      <c r="F128" s="130">
        <f>SUM(E129:E142)</f>
        <v>5363389.0600000005</v>
      </c>
      <c r="G128" s="120">
        <v>0</v>
      </c>
      <c r="H128" s="120">
        <f t="shared" si="55"/>
        <v>108.86261834096996</v>
      </c>
      <c r="I128" s="120">
        <f t="shared" si="54"/>
        <v>277.8987119150292</v>
      </c>
      <c r="J128" s="14">
        <v>1929979.82</v>
      </c>
      <c r="K128" s="376"/>
    </row>
    <row r="129" spans="1:11" s="375" customFormat="1" ht="12.75" customHeight="1" x14ac:dyDescent="0.2">
      <c r="A129" s="15"/>
      <c r="B129" s="15" t="s">
        <v>875</v>
      </c>
      <c r="C129" s="126">
        <v>0</v>
      </c>
      <c r="D129" s="126">
        <f>(65834.23+140191.92)</f>
        <v>206026.15000000002</v>
      </c>
      <c r="E129" s="10">
        <v>206026.15</v>
      </c>
      <c r="F129" s="10"/>
      <c r="G129" s="126">
        <v>0</v>
      </c>
      <c r="H129" s="126">
        <f t="shared" si="55"/>
        <v>99.999999999999986</v>
      </c>
      <c r="I129" s="126">
        <f t="shared" si="54"/>
        <v>80.622028002580976</v>
      </c>
      <c r="J129" s="351">
        <v>255545.73</v>
      </c>
      <c r="K129" s="376"/>
    </row>
    <row r="130" spans="1:11" ht="12.75" customHeight="1" x14ac:dyDescent="0.2">
      <c r="A130" s="185"/>
      <c r="B130" s="185" t="s">
        <v>934</v>
      </c>
      <c r="C130" s="126">
        <v>0</v>
      </c>
      <c r="D130" s="126">
        <f>26490</f>
        <v>26490</v>
      </c>
      <c r="E130" s="371">
        <v>26490</v>
      </c>
      <c r="F130" s="370"/>
      <c r="G130" s="126">
        <v>0</v>
      </c>
      <c r="H130" s="126">
        <f t="shared" si="55"/>
        <v>100</v>
      </c>
      <c r="I130" s="126">
        <f t="shared" si="54"/>
        <v>123.78504672897196</v>
      </c>
      <c r="J130" s="351">
        <v>21400</v>
      </c>
      <c r="K130" s="341"/>
    </row>
    <row r="131" spans="1:11" s="375" customFormat="1" ht="12.75" customHeight="1" x14ac:dyDescent="0.2">
      <c r="A131" s="15"/>
      <c r="B131" s="15" t="s">
        <v>876</v>
      </c>
      <c r="C131" s="126">
        <v>0</v>
      </c>
      <c r="D131" s="126">
        <f>(308971.67+25523.77+77151.21+30113.25)</f>
        <v>441759.9</v>
      </c>
      <c r="E131" s="371">
        <v>441759.9</v>
      </c>
      <c r="F131" s="370"/>
      <c r="G131" s="126">
        <v>0</v>
      </c>
      <c r="H131" s="126">
        <f t="shared" si="55"/>
        <v>100</v>
      </c>
      <c r="I131" s="126">
        <f t="shared" si="54"/>
        <v>98.686241348588368</v>
      </c>
      <c r="J131" s="351">
        <v>447640.82</v>
      </c>
      <c r="K131" s="376"/>
    </row>
    <row r="132" spans="1:11" s="375" customFormat="1" ht="12.75" customHeight="1" x14ac:dyDescent="0.2">
      <c r="A132" s="15"/>
      <c r="B132" s="15" t="s">
        <v>922</v>
      </c>
      <c r="C132" s="126">
        <v>0</v>
      </c>
      <c r="D132" s="126">
        <v>16912</v>
      </c>
      <c r="E132" s="371">
        <v>16912</v>
      </c>
      <c r="F132" s="294"/>
      <c r="G132" s="126">
        <v>0</v>
      </c>
      <c r="H132" s="126">
        <f t="shared" si="55"/>
        <v>100</v>
      </c>
      <c r="I132" s="126">
        <f t="shared" si="54"/>
        <v>45.977761465894574</v>
      </c>
      <c r="J132" s="296">
        <v>36783</v>
      </c>
      <c r="K132" s="376"/>
    </row>
    <row r="133" spans="1:11" ht="12.75" customHeight="1" x14ac:dyDescent="0.2">
      <c r="A133" s="185"/>
      <c r="B133" s="185" t="s">
        <v>935</v>
      </c>
      <c r="C133" s="126">
        <v>0</v>
      </c>
      <c r="D133" s="126">
        <f>122549</f>
        <v>122549</v>
      </c>
      <c r="E133" s="371">
        <v>122549</v>
      </c>
      <c r="F133" s="370"/>
      <c r="G133" s="126">
        <v>0</v>
      </c>
      <c r="H133" s="126">
        <f t="shared" ref="H133" si="61">E133/D133*100</f>
        <v>100</v>
      </c>
      <c r="I133" s="126">
        <f t="shared" ref="I133" si="62">E133/J133*100</f>
        <v>572.65887850467288</v>
      </c>
      <c r="J133" s="351">
        <v>21400</v>
      </c>
      <c r="K133" s="341"/>
    </row>
    <row r="134" spans="1:11" s="375" customFormat="1" ht="12.75" customHeight="1" x14ac:dyDescent="0.2">
      <c r="A134" s="15"/>
      <c r="B134" s="15" t="s">
        <v>877</v>
      </c>
      <c r="C134" s="126">
        <v>0</v>
      </c>
      <c r="D134" s="126">
        <v>58335.59</v>
      </c>
      <c r="E134" s="371">
        <v>58335.59</v>
      </c>
      <c r="F134" s="370"/>
      <c r="G134" s="126">
        <v>0</v>
      </c>
      <c r="H134" s="126">
        <f t="shared" si="55"/>
        <v>100</v>
      </c>
      <c r="I134" s="126">
        <f t="shared" si="54"/>
        <v>216.35398543858017</v>
      </c>
      <c r="J134" s="351">
        <v>26963.03</v>
      </c>
      <c r="K134" s="376"/>
    </row>
    <row r="135" spans="1:11" s="375" customFormat="1" ht="12.75" customHeight="1" x14ac:dyDescent="0.2">
      <c r="A135" s="15"/>
      <c r="B135" s="15" t="s">
        <v>878</v>
      </c>
      <c r="C135" s="126">
        <v>0</v>
      </c>
      <c r="D135" s="126">
        <v>92743.77</v>
      </c>
      <c r="E135" s="371">
        <v>92743.77</v>
      </c>
      <c r="F135" s="370"/>
      <c r="G135" s="126">
        <v>0</v>
      </c>
      <c r="H135" s="126">
        <f t="shared" ref="H135" si="63">E135/D135*100</f>
        <v>100</v>
      </c>
      <c r="I135" s="126">
        <f t="shared" ref="I135" si="64">E135/J135*100</f>
        <v>55.193004901289534</v>
      </c>
      <c r="J135" s="351">
        <v>168035.37</v>
      </c>
      <c r="K135" s="376"/>
    </row>
    <row r="136" spans="1:11" s="375" customFormat="1" ht="12.75" customHeight="1" x14ac:dyDescent="0.2">
      <c r="A136" s="15"/>
      <c r="B136" s="15" t="s">
        <v>943</v>
      </c>
      <c r="C136" s="126">
        <v>0</v>
      </c>
      <c r="D136" s="126">
        <v>0</v>
      </c>
      <c r="E136" s="371">
        <v>96359</v>
      </c>
      <c r="F136" s="370"/>
      <c r="G136" s="126">
        <v>0</v>
      </c>
      <c r="H136" s="126">
        <v>0</v>
      </c>
      <c r="I136" s="126">
        <v>0</v>
      </c>
      <c r="J136" s="351">
        <v>0</v>
      </c>
      <c r="K136" s="376"/>
    </row>
    <row r="137" spans="1:11" s="375" customFormat="1" ht="12.75" customHeight="1" x14ac:dyDescent="0.2">
      <c r="A137" s="15"/>
      <c r="B137" s="15" t="s">
        <v>879</v>
      </c>
      <c r="C137" s="126">
        <v>0</v>
      </c>
      <c r="D137" s="126">
        <v>250414</v>
      </c>
      <c r="E137" s="371">
        <v>250414</v>
      </c>
      <c r="F137" s="370"/>
      <c r="G137" s="126">
        <v>0</v>
      </c>
      <c r="H137" s="126">
        <f t="shared" si="55"/>
        <v>100</v>
      </c>
      <c r="I137" s="126">
        <f t="shared" si="54"/>
        <v>117.90334744861343</v>
      </c>
      <c r="J137" s="351">
        <v>212389.22</v>
      </c>
      <c r="K137" s="376"/>
    </row>
    <row r="138" spans="1:11" ht="12.75" customHeight="1" x14ac:dyDescent="0.2">
      <c r="A138" s="185"/>
      <c r="B138" s="185" t="s">
        <v>882</v>
      </c>
      <c r="C138" s="126">
        <v>0</v>
      </c>
      <c r="D138" s="126">
        <v>2888353.24</v>
      </c>
      <c r="E138" s="371">
        <v>2888353.24</v>
      </c>
      <c r="F138" s="370"/>
      <c r="G138" s="126">
        <v>0</v>
      </c>
      <c r="H138" s="126">
        <f>E138/D138*100</f>
        <v>100</v>
      </c>
      <c r="I138" s="126">
        <f t="shared" si="54"/>
        <v>542.31684986241419</v>
      </c>
      <c r="J138" s="351">
        <v>532595.15</v>
      </c>
      <c r="K138" s="341"/>
    </row>
    <row r="139" spans="1:11" ht="12.75" customHeight="1" x14ac:dyDescent="0.2">
      <c r="A139" s="185"/>
      <c r="B139" s="185" t="s">
        <v>932</v>
      </c>
      <c r="C139" s="126">
        <v>0</v>
      </c>
      <c r="D139" s="126">
        <f>(503779.56+214977+2616.8+37565+58168)</f>
        <v>817106.3600000001</v>
      </c>
      <c r="E139" s="371">
        <v>817106.36</v>
      </c>
      <c r="F139" s="370"/>
      <c r="G139" s="126">
        <v>0</v>
      </c>
      <c r="H139" s="126">
        <f t="shared" si="55"/>
        <v>99.999999999999986</v>
      </c>
      <c r="I139" s="126">
        <f t="shared" si="54"/>
        <v>415.24696101150545</v>
      </c>
      <c r="J139" s="351">
        <v>196776</v>
      </c>
      <c r="K139" s="341"/>
    </row>
    <row r="140" spans="1:11" ht="12.75" customHeight="1" x14ac:dyDescent="0.2">
      <c r="A140" s="185"/>
      <c r="B140" s="185" t="s">
        <v>933</v>
      </c>
      <c r="C140" s="126">
        <v>0</v>
      </c>
      <c r="D140" s="126">
        <f>6060</f>
        <v>6060</v>
      </c>
      <c r="E140" s="371">
        <v>6060</v>
      </c>
      <c r="F140" s="370"/>
      <c r="G140" s="126">
        <v>0</v>
      </c>
      <c r="H140" s="126">
        <f t="shared" si="55"/>
        <v>100</v>
      </c>
      <c r="I140" s="126">
        <f t="shared" si="54"/>
        <v>263.47826086956519</v>
      </c>
      <c r="J140" s="351">
        <v>2300</v>
      </c>
      <c r="K140" s="341"/>
    </row>
    <row r="141" spans="1:11" ht="12.75" customHeight="1" x14ac:dyDescent="0.2">
      <c r="A141" s="185"/>
      <c r="B141" s="185" t="s">
        <v>937</v>
      </c>
      <c r="C141" s="126">
        <v>0</v>
      </c>
      <c r="D141" s="126">
        <v>0</v>
      </c>
      <c r="E141" s="371">
        <v>1908</v>
      </c>
      <c r="F141" s="370"/>
      <c r="G141" s="126">
        <v>0</v>
      </c>
      <c r="H141" s="126">
        <v>0</v>
      </c>
      <c r="I141" s="126">
        <v>0</v>
      </c>
      <c r="J141" s="351">
        <v>0</v>
      </c>
      <c r="K141" s="341"/>
    </row>
    <row r="142" spans="1:11" ht="12.75" customHeight="1" x14ac:dyDescent="0.2">
      <c r="A142" s="185"/>
      <c r="B142" s="185" t="s">
        <v>662</v>
      </c>
      <c r="C142" s="126">
        <v>0</v>
      </c>
      <c r="D142" s="126">
        <v>0</v>
      </c>
      <c r="E142" s="371">
        <v>338372.05</v>
      </c>
      <c r="F142" s="370"/>
      <c r="G142" s="126">
        <v>0</v>
      </c>
      <c r="H142" s="126">
        <v>0</v>
      </c>
      <c r="I142" s="126">
        <f t="shared" si="54"/>
        <v>1500.0423362518011</v>
      </c>
      <c r="J142" s="351">
        <v>22557.5</v>
      </c>
      <c r="K142" s="341"/>
    </row>
    <row r="143" spans="1:11" ht="12.75" customHeight="1" x14ac:dyDescent="0.2">
      <c r="A143" s="180">
        <v>2310</v>
      </c>
      <c r="B143" s="123" t="s">
        <v>661</v>
      </c>
      <c r="C143" s="120">
        <v>0</v>
      </c>
      <c r="D143" s="120">
        <f>49000+9075</f>
        <v>58075</v>
      </c>
      <c r="E143" s="533">
        <v>58075</v>
      </c>
      <c r="F143" s="370"/>
      <c r="G143" s="120">
        <v>0</v>
      </c>
      <c r="H143" s="120">
        <f t="shared" si="55"/>
        <v>100</v>
      </c>
      <c r="I143" s="120">
        <f t="shared" si="54"/>
        <v>3326.1741122565863</v>
      </c>
      <c r="J143" s="351">
        <v>1746</v>
      </c>
    </row>
    <row r="144" spans="1:11" ht="12.75" customHeight="1" x14ac:dyDescent="0.2">
      <c r="A144" s="180">
        <v>2321</v>
      </c>
      <c r="B144" s="123" t="s">
        <v>660</v>
      </c>
      <c r="C144" s="120">
        <v>150000</v>
      </c>
      <c r="D144" s="120">
        <f>150000-100000-50000+150000</f>
        <v>150000</v>
      </c>
      <c r="E144" s="481">
        <v>150000</v>
      </c>
      <c r="F144" s="294"/>
      <c r="G144" s="120">
        <f t="shared" si="56"/>
        <v>100</v>
      </c>
      <c r="H144" s="120">
        <f t="shared" si="55"/>
        <v>100</v>
      </c>
      <c r="I144" s="120">
        <f t="shared" si="54"/>
        <v>262.23776223776224</v>
      </c>
      <c r="J144" s="296">
        <v>57200</v>
      </c>
    </row>
    <row r="145" spans="1:10" ht="12.75" customHeight="1" x14ac:dyDescent="0.2">
      <c r="A145" s="180">
        <v>2322</v>
      </c>
      <c r="B145" s="123" t="s">
        <v>659</v>
      </c>
      <c r="C145" s="120">
        <v>0</v>
      </c>
      <c r="D145" s="120">
        <f>8732+15883+(35845+6600+20000)</f>
        <v>87060</v>
      </c>
      <c r="E145" s="481">
        <v>86185</v>
      </c>
      <c r="G145" s="120">
        <v>0</v>
      </c>
      <c r="H145" s="120">
        <f t="shared" si="55"/>
        <v>98.994946014243041</v>
      </c>
      <c r="I145" s="120">
        <f t="shared" si="54"/>
        <v>199.35284632656209</v>
      </c>
      <c r="J145" s="296">
        <v>43232.39</v>
      </c>
    </row>
    <row r="146" spans="1:10" s="3" customFormat="1" ht="12.75" customHeight="1" x14ac:dyDescent="0.2">
      <c r="A146" s="180">
        <v>2324</v>
      </c>
      <c r="B146" s="123" t="s">
        <v>658</v>
      </c>
      <c r="C146" s="122">
        <f>SUM(C147:C161)</f>
        <v>2671000</v>
      </c>
      <c r="D146" s="122">
        <f>SUM(D147:D161)</f>
        <v>2753107</v>
      </c>
      <c r="E146" s="481">
        <v>1888889.38</v>
      </c>
      <c r="F146" s="294">
        <f>SUM(E147:E161)</f>
        <v>1888889.3800000001</v>
      </c>
      <c r="G146" s="120">
        <f t="shared" si="56"/>
        <v>70.718434294271802</v>
      </c>
      <c r="H146" s="120">
        <f t="shared" si="55"/>
        <v>68.60937043129816</v>
      </c>
      <c r="I146" s="120">
        <f t="shared" si="54"/>
        <v>89.077690051838289</v>
      </c>
      <c r="J146" s="296">
        <v>2120496.59</v>
      </c>
    </row>
    <row r="147" spans="1:10" s="3" customFormat="1" ht="12.75" customHeight="1" x14ac:dyDescent="0.2">
      <c r="A147" s="180"/>
      <c r="B147" s="665" t="s">
        <v>906</v>
      </c>
      <c r="C147" s="126">
        <v>0</v>
      </c>
      <c r="D147" s="126">
        <v>1267</v>
      </c>
      <c r="E147" s="371">
        <v>1267</v>
      </c>
      <c r="F147" s="294">
        <f>E146-F146</f>
        <v>0</v>
      </c>
      <c r="G147" s="126">
        <v>0</v>
      </c>
      <c r="H147" s="126">
        <f t="shared" ref="H147" si="65">E147/D147*100</f>
        <v>100</v>
      </c>
      <c r="I147" s="126">
        <v>0</v>
      </c>
      <c r="J147" s="296">
        <v>0</v>
      </c>
    </row>
    <row r="148" spans="1:10" s="3" customFormat="1" ht="12.75" customHeight="1" x14ac:dyDescent="0.2">
      <c r="A148" s="180"/>
      <c r="B148" s="131" t="s">
        <v>657</v>
      </c>
      <c r="C148" s="126">
        <v>8000</v>
      </c>
      <c r="D148" s="126">
        <v>8000</v>
      </c>
      <c r="E148" s="371">
        <v>5754.32</v>
      </c>
      <c r="F148" s="294"/>
      <c r="G148" s="126">
        <f t="shared" si="56"/>
        <v>71.929000000000002</v>
      </c>
      <c r="H148" s="126">
        <f t="shared" si="55"/>
        <v>71.929000000000002</v>
      </c>
      <c r="I148" s="126">
        <f t="shared" si="54"/>
        <v>115.08639999999998</v>
      </c>
      <c r="J148" s="296">
        <v>5000</v>
      </c>
    </row>
    <row r="149" spans="1:10" s="3" customFormat="1" ht="12.75" customHeight="1" x14ac:dyDescent="0.2">
      <c r="A149" s="180"/>
      <c r="B149" s="131" t="s">
        <v>656</v>
      </c>
      <c r="C149" s="126">
        <v>30000</v>
      </c>
      <c r="D149" s="126">
        <v>30000</v>
      </c>
      <c r="E149" s="10">
        <v>11000</v>
      </c>
      <c r="F149" s="515"/>
      <c r="G149" s="126">
        <f t="shared" si="56"/>
        <v>36.666666666666664</v>
      </c>
      <c r="H149" s="126">
        <f t="shared" si="55"/>
        <v>36.666666666666664</v>
      </c>
      <c r="I149" s="126">
        <f t="shared" si="54"/>
        <v>47.210300429184549</v>
      </c>
      <c r="J149" s="14">
        <v>23300</v>
      </c>
    </row>
    <row r="150" spans="1:10" s="3" customFormat="1" ht="12.75" customHeight="1" x14ac:dyDescent="0.2">
      <c r="A150" s="180"/>
      <c r="B150" s="131" t="s">
        <v>655</v>
      </c>
      <c r="C150" s="126">
        <v>250000</v>
      </c>
      <c r="D150" s="126">
        <v>250000</v>
      </c>
      <c r="E150" s="10">
        <v>85122.49</v>
      </c>
      <c r="F150" s="515"/>
      <c r="G150" s="126">
        <f t="shared" si="56"/>
        <v>34.048996000000002</v>
      </c>
      <c r="H150" s="126">
        <f t="shared" si="55"/>
        <v>34.048996000000002</v>
      </c>
      <c r="I150" s="126">
        <f t="shared" si="54"/>
        <v>83.34928399262725</v>
      </c>
      <c r="J150" s="14">
        <v>102127.44</v>
      </c>
    </row>
    <row r="151" spans="1:10" s="3" customFormat="1" ht="12.75" customHeight="1" x14ac:dyDescent="0.2">
      <c r="A151" s="180"/>
      <c r="B151" s="131" t="s">
        <v>654</v>
      </c>
      <c r="C151" s="126">
        <v>200000</v>
      </c>
      <c r="D151" s="126">
        <f>200000+80840</f>
        <v>280840</v>
      </c>
      <c r="E151" s="10">
        <v>280839.61</v>
      </c>
      <c r="F151" s="130"/>
      <c r="G151" s="126">
        <f t="shared" si="56"/>
        <v>140.419805</v>
      </c>
      <c r="H151" s="126">
        <f t="shared" si="55"/>
        <v>99.999861130893038</v>
      </c>
      <c r="I151" s="126">
        <f t="shared" si="54"/>
        <v>133.6689292463254</v>
      </c>
      <c r="J151" s="14">
        <v>210100.89</v>
      </c>
    </row>
    <row r="152" spans="1:10" s="3" customFormat="1" ht="12.75" customHeight="1" x14ac:dyDescent="0.2">
      <c r="A152" s="180"/>
      <c r="B152" s="131" t="s">
        <v>653</v>
      </c>
      <c r="C152" s="126">
        <v>10000</v>
      </c>
      <c r="D152" s="126">
        <v>10000</v>
      </c>
      <c r="E152" s="10">
        <v>9665.82</v>
      </c>
      <c r="F152" s="130"/>
      <c r="G152" s="126">
        <f t="shared" si="56"/>
        <v>96.658199999999994</v>
      </c>
      <c r="H152" s="126">
        <f t="shared" si="55"/>
        <v>96.658199999999994</v>
      </c>
      <c r="I152" s="126">
        <f t="shared" si="54"/>
        <v>111.03641662521582</v>
      </c>
      <c r="J152" s="14">
        <v>8705.09</v>
      </c>
    </row>
    <row r="153" spans="1:10" ht="12.75" customHeight="1" x14ac:dyDescent="0.2">
      <c r="A153" s="373"/>
      <c r="B153" s="372" t="s">
        <v>650</v>
      </c>
      <c r="C153" s="126">
        <v>50000</v>
      </c>
      <c r="D153" s="126">
        <v>50000</v>
      </c>
      <c r="E153" s="10">
        <v>1000</v>
      </c>
      <c r="F153" s="130"/>
      <c r="G153" s="126">
        <f t="shared" si="56"/>
        <v>2</v>
      </c>
      <c r="H153" s="126">
        <f t="shared" si="55"/>
        <v>2</v>
      </c>
      <c r="I153" s="126">
        <f t="shared" si="54"/>
        <v>1.9762845849802373</v>
      </c>
      <c r="J153" s="14">
        <v>50600</v>
      </c>
    </row>
    <row r="154" spans="1:10" s="144" customFormat="1" ht="12.75" customHeight="1" x14ac:dyDescent="0.2">
      <c r="A154" s="237"/>
      <c r="B154" s="155" t="s">
        <v>649</v>
      </c>
      <c r="C154" s="9">
        <v>2000000</v>
      </c>
      <c r="D154" s="9">
        <v>2000000</v>
      </c>
      <c r="E154" s="75">
        <v>1351784.5</v>
      </c>
      <c r="F154" s="374"/>
      <c r="G154" s="126">
        <f t="shared" ref="G154:G168" si="66">E154/C154*100</f>
        <v>67.589224999999999</v>
      </c>
      <c r="H154" s="126">
        <f t="shared" si="55"/>
        <v>67.589224999999999</v>
      </c>
      <c r="I154" s="126">
        <f t="shared" si="54"/>
        <v>103.70545257730338</v>
      </c>
      <c r="J154" s="14">
        <v>1303484.5</v>
      </c>
    </row>
    <row r="155" spans="1:10" s="144" customFormat="1" ht="12.75" customHeight="1" x14ac:dyDescent="0.2">
      <c r="A155" s="237"/>
      <c r="B155" s="155" t="s">
        <v>648</v>
      </c>
      <c r="C155" s="9">
        <v>0</v>
      </c>
      <c r="D155" s="9">
        <v>0</v>
      </c>
      <c r="E155" s="10">
        <v>2000</v>
      </c>
      <c r="F155" s="130"/>
      <c r="G155" s="126">
        <v>0</v>
      </c>
      <c r="H155" s="126">
        <v>0</v>
      </c>
      <c r="I155" s="126">
        <f t="shared" si="54"/>
        <v>66.666666666666657</v>
      </c>
      <c r="J155" s="296">
        <v>3000</v>
      </c>
    </row>
    <row r="156" spans="1:10" s="144" customFormat="1" ht="12.75" customHeight="1" x14ac:dyDescent="0.2">
      <c r="A156" s="237"/>
      <c r="B156" s="155" t="s">
        <v>647</v>
      </c>
      <c r="C156" s="126">
        <v>0</v>
      </c>
      <c r="D156" s="126">
        <v>0</v>
      </c>
      <c r="E156" s="371">
        <v>3200</v>
      </c>
      <c r="F156" s="294"/>
      <c r="G156" s="126">
        <v>0</v>
      </c>
      <c r="H156" s="126">
        <v>0</v>
      </c>
      <c r="I156" s="126">
        <f t="shared" ref="I156" si="67">E156/J156*100</f>
        <v>266.66666666666663</v>
      </c>
      <c r="J156" s="296">
        <v>1200</v>
      </c>
    </row>
    <row r="157" spans="1:10" s="144" customFormat="1" ht="12.75" customHeight="1" x14ac:dyDescent="0.2">
      <c r="A157" s="237"/>
      <c r="B157" s="155" t="s">
        <v>938</v>
      </c>
      <c r="C157" s="126">
        <v>0</v>
      </c>
      <c r="D157" s="126">
        <v>0</v>
      </c>
      <c r="E157" s="371">
        <v>87790.080000000002</v>
      </c>
      <c r="F157" s="294"/>
      <c r="G157" s="126">
        <v>0</v>
      </c>
      <c r="H157" s="126">
        <v>0</v>
      </c>
      <c r="I157" s="126">
        <v>0</v>
      </c>
      <c r="J157" s="296">
        <v>0</v>
      </c>
    </row>
    <row r="158" spans="1:10" s="144" customFormat="1" ht="12.75" customHeight="1" x14ac:dyDescent="0.2">
      <c r="A158" s="237"/>
      <c r="B158" s="155" t="s">
        <v>646</v>
      </c>
      <c r="C158" s="126">
        <v>3000</v>
      </c>
      <c r="D158" s="126">
        <v>3000</v>
      </c>
      <c r="E158" s="371">
        <v>1815</v>
      </c>
      <c r="F158" s="294"/>
      <c r="G158" s="126">
        <f t="shared" si="66"/>
        <v>60.5</v>
      </c>
      <c r="H158" s="126">
        <f t="shared" si="55"/>
        <v>60.5</v>
      </c>
      <c r="I158" s="126">
        <f t="shared" ref="I158:I161" si="68">E158/J158*100</f>
        <v>311.32075471698113</v>
      </c>
      <c r="J158" s="296">
        <v>583</v>
      </c>
    </row>
    <row r="159" spans="1:10" s="144" customFormat="1" ht="12.75" customHeight="1" x14ac:dyDescent="0.2">
      <c r="A159" s="237"/>
      <c r="B159" s="155" t="s">
        <v>645</v>
      </c>
      <c r="C159" s="126">
        <v>70000</v>
      </c>
      <c r="D159" s="126">
        <v>70000</v>
      </c>
      <c r="E159" s="371">
        <v>24391.759999999998</v>
      </c>
      <c r="F159" s="294"/>
      <c r="G159" s="126">
        <f t="shared" si="66"/>
        <v>34.845371428571426</v>
      </c>
      <c r="H159" s="126">
        <f t="shared" si="55"/>
        <v>34.845371428571426</v>
      </c>
      <c r="I159" s="126">
        <f t="shared" si="68"/>
        <v>41.957099853788591</v>
      </c>
      <c r="J159" s="296">
        <v>58135</v>
      </c>
    </row>
    <row r="160" spans="1:10" s="144" customFormat="1" ht="12.75" customHeight="1" x14ac:dyDescent="0.2">
      <c r="A160" s="237"/>
      <c r="B160" s="155" t="s">
        <v>944</v>
      </c>
      <c r="C160" s="126">
        <v>0</v>
      </c>
      <c r="D160" s="126">
        <v>0</v>
      </c>
      <c r="E160" s="371">
        <v>6999.5</v>
      </c>
      <c r="F160" s="294"/>
      <c r="G160" s="126">
        <v>0</v>
      </c>
      <c r="H160" s="126">
        <v>0</v>
      </c>
      <c r="I160" s="126">
        <f t="shared" si="68"/>
        <v>134.60576923076923</v>
      </c>
      <c r="J160" s="296">
        <v>5200</v>
      </c>
    </row>
    <row r="161" spans="1:10" s="144" customFormat="1" ht="12.75" customHeight="1" x14ac:dyDescent="0.2">
      <c r="A161" s="237"/>
      <c r="B161" s="155" t="s">
        <v>643</v>
      </c>
      <c r="C161" s="126">
        <v>50000</v>
      </c>
      <c r="D161" s="126">
        <v>50000</v>
      </c>
      <c r="E161" s="371">
        <v>16259.3</v>
      </c>
      <c r="F161" s="294"/>
      <c r="G161" s="126">
        <f t="shared" si="66"/>
        <v>32.518599999999999</v>
      </c>
      <c r="H161" s="126">
        <f t="shared" si="55"/>
        <v>32.518599999999999</v>
      </c>
      <c r="I161" s="126">
        <f t="shared" si="68"/>
        <v>52.80438769442415</v>
      </c>
      <c r="J161" s="296">
        <v>30791.57</v>
      </c>
    </row>
    <row r="162" spans="1:10" ht="12.75" customHeight="1" x14ac:dyDescent="0.2">
      <c r="A162" s="180">
        <v>2328</v>
      </c>
      <c r="B162" s="123" t="s">
        <v>641</v>
      </c>
      <c r="C162" s="120">
        <v>0</v>
      </c>
      <c r="D162" s="120">
        <v>0</v>
      </c>
      <c r="E162" s="481">
        <v>25543.99</v>
      </c>
      <c r="F162" s="294"/>
      <c r="G162" s="120">
        <v>0</v>
      </c>
      <c r="H162" s="120">
        <v>0</v>
      </c>
      <c r="I162" s="120">
        <f t="shared" ref="I162:I172" si="69">E162/J162*100</f>
        <v>51.098199639927991</v>
      </c>
      <c r="J162" s="296">
        <v>49990</v>
      </c>
    </row>
    <row r="163" spans="1:10" s="3" customFormat="1" ht="12.75" customHeight="1" x14ac:dyDescent="0.2">
      <c r="A163" s="180">
        <v>2329</v>
      </c>
      <c r="B163" s="123" t="s">
        <v>640</v>
      </c>
      <c r="C163" s="122">
        <f>SUM(C164:C172)</f>
        <v>360000</v>
      </c>
      <c r="D163" s="122">
        <f>SUM(D164:D172)</f>
        <v>360000</v>
      </c>
      <c r="E163" s="481">
        <v>427333.51</v>
      </c>
      <c r="F163" s="294">
        <f>SUM(E164:E172)</f>
        <v>427333.51</v>
      </c>
      <c r="G163" s="120">
        <f t="shared" si="66"/>
        <v>118.70375277777778</v>
      </c>
      <c r="H163" s="120">
        <f t="shared" ref="H163:H176" si="70">E163/D163*100</f>
        <v>118.70375277777778</v>
      </c>
      <c r="I163" s="120">
        <f t="shared" si="69"/>
        <v>75.464160019083366</v>
      </c>
      <c r="J163" s="296">
        <v>566273.46</v>
      </c>
    </row>
    <row r="164" spans="1:10" ht="12.75" customHeight="1" x14ac:dyDescent="0.2">
      <c r="A164" s="237"/>
      <c r="B164" s="155" t="s">
        <v>637</v>
      </c>
      <c r="C164" s="126">
        <v>0</v>
      </c>
      <c r="D164" s="126">
        <v>0</v>
      </c>
      <c r="E164" s="368">
        <v>220256.59</v>
      </c>
      <c r="F164" s="294">
        <f>E163-F163</f>
        <v>0</v>
      </c>
      <c r="G164" s="126">
        <v>0</v>
      </c>
      <c r="H164" s="126">
        <v>0</v>
      </c>
      <c r="I164" s="126">
        <f>E164/J164*100</f>
        <v>151.25051073417305</v>
      </c>
      <c r="J164" s="296">
        <v>145623.70000000001</v>
      </c>
    </row>
    <row r="165" spans="1:10" ht="12.75" customHeight="1" x14ac:dyDescent="0.2">
      <c r="A165" s="237"/>
      <c r="B165" s="155" t="s">
        <v>636</v>
      </c>
      <c r="C165" s="126">
        <v>0</v>
      </c>
      <c r="D165" s="126">
        <v>0</v>
      </c>
      <c r="E165" s="130">
        <v>106184.32000000001</v>
      </c>
      <c r="F165" s="130"/>
      <c r="G165" s="126">
        <v>0</v>
      </c>
      <c r="H165" s="126">
        <v>0</v>
      </c>
      <c r="I165" s="126">
        <v>0</v>
      </c>
      <c r="J165" s="14">
        <v>0</v>
      </c>
    </row>
    <row r="166" spans="1:10" ht="12.75" customHeight="1" x14ac:dyDescent="0.2">
      <c r="A166" s="237"/>
      <c r="B166" s="155" t="s">
        <v>635</v>
      </c>
      <c r="C166" s="126">
        <v>270000</v>
      </c>
      <c r="D166" s="126">
        <v>270000</v>
      </c>
      <c r="E166" s="294">
        <v>45990</v>
      </c>
      <c r="F166" s="14"/>
      <c r="G166" s="126">
        <f t="shared" si="66"/>
        <v>17.033333333333335</v>
      </c>
      <c r="H166" s="126">
        <f t="shared" ref="H166" si="71">E166/D166*100</f>
        <v>17.033333333333335</v>
      </c>
      <c r="I166" s="126">
        <f t="shared" si="69"/>
        <v>27.920683161260008</v>
      </c>
      <c r="J166" s="296">
        <v>164716.6</v>
      </c>
    </row>
    <row r="167" spans="1:10" ht="12.75" customHeight="1" x14ac:dyDescent="0.2">
      <c r="A167" s="237"/>
      <c r="B167" s="155" t="s">
        <v>634</v>
      </c>
      <c r="C167" s="126">
        <v>50000</v>
      </c>
      <c r="D167" s="126">
        <v>50000</v>
      </c>
      <c r="E167" s="130">
        <v>11533</v>
      </c>
      <c r="F167" s="130"/>
      <c r="G167" s="126">
        <f t="shared" si="66"/>
        <v>23.065999999999999</v>
      </c>
      <c r="H167" s="126">
        <f t="shared" si="70"/>
        <v>23.065999999999999</v>
      </c>
      <c r="I167" s="126">
        <f t="shared" si="69"/>
        <v>32.996624519413167</v>
      </c>
      <c r="J167" s="14">
        <v>34952.06</v>
      </c>
    </row>
    <row r="168" spans="1:10" ht="12.75" customHeight="1" x14ac:dyDescent="0.2">
      <c r="A168" s="237"/>
      <c r="B168" s="155" t="s">
        <v>633</v>
      </c>
      <c r="C168" s="126">
        <v>40000</v>
      </c>
      <c r="D168" s="126">
        <v>40000</v>
      </c>
      <c r="E168" s="368">
        <v>20940</v>
      </c>
      <c r="F168" s="294"/>
      <c r="G168" s="126">
        <f t="shared" si="66"/>
        <v>52.349999999999994</v>
      </c>
      <c r="H168" s="126">
        <f t="shared" si="70"/>
        <v>52.349999999999994</v>
      </c>
      <c r="I168" s="126">
        <f t="shared" si="69"/>
        <v>97.964912280701753</v>
      </c>
      <c r="J168" s="296">
        <v>21375</v>
      </c>
    </row>
    <row r="169" spans="1:10" ht="12.75" customHeight="1" x14ac:dyDescent="0.2">
      <c r="A169" s="237"/>
      <c r="B169" s="155" t="s">
        <v>632</v>
      </c>
      <c r="C169" s="126">
        <v>0</v>
      </c>
      <c r="D169" s="126">
        <v>0</v>
      </c>
      <c r="E169" s="368">
        <v>3041</v>
      </c>
      <c r="F169" s="294"/>
      <c r="G169" s="126">
        <v>0</v>
      </c>
      <c r="H169" s="126">
        <v>0</v>
      </c>
      <c r="I169" s="126">
        <f t="shared" si="69"/>
        <v>99.492884017667265</v>
      </c>
      <c r="J169" s="296">
        <v>3056.5</v>
      </c>
    </row>
    <row r="170" spans="1:10" ht="12.75" customHeight="1" x14ac:dyDescent="0.2">
      <c r="A170" s="237"/>
      <c r="B170" s="155" t="s">
        <v>945</v>
      </c>
      <c r="C170" s="127">
        <v>0</v>
      </c>
      <c r="D170" s="127">
        <v>0</v>
      </c>
      <c r="E170" s="368">
        <v>4610</v>
      </c>
      <c r="F170" s="297"/>
      <c r="G170" s="126">
        <v>0</v>
      </c>
      <c r="H170" s="126">
        <v>0</v>
      </c>
      <c r="I170" s="126">
        <f t="shared" si="69"/>
        <v>115.30765382691345</v>
      </c>
      <c r="J170" s="351">
        <v>3998</v>
      </c>
    </row>
    <row r="171" spans="1:10" ht="12.75" customHeight="1" x14ac:dyDescent="0.2">
      <c r="A171" s="237"/>
      <c r="B171" s="155" t="s">
        <v>630</v>
      </c>
      <c r="C171" s="126">
        <v>0</v>
      </c>
      <c r="D171" s="126">
        <v>0</v>
      </c>
      <c r="E171" s="368">
        <v>13978.6</v>
      </c>
      <c r="F171" s="294"/>
      <c r="G171" s="126">
        <v>0</v>
      </c>
      <c r="H171" s="126">
        <v>0</v>
      </c>
      <c r="I171" s="126">
        <f t="shared" si="69"/>
        <v>155.18673120476043</v>
      </c>
      <c r="J171" s="296">
        <v>9007.6</v>
      </c>
    </row>
    <row r="172" spans="1:10" ht="12.75" customHeight="1" x14ac:dyDescent="0.2">
      <c r="A172" s="237"/>
      <c r="B172" s="155" t="s">
        <v>629</v>
      </c>
      <c r="C172" s="126">
        <v>0</v>
      </c>
      <c r="D172" s="126">
        <v>0</v>
      </c>
      <c r="E172" s="368">
        <v>800</v>
      </c>
      <c r="F172" s="297"/>
      <c r="G172" s="126">
        <v>0</v>
      </c>
      <c r="H172" s="126">
        <v>0</v>
      </c>
      <c r="I172" s="126">
        <f t="shared" si="69"/>
        <v>33.016921172100702</v>
      </c>
      <c r="J172" s="351">
        <v>2423</v>
      </c>
    </row>
    <row r="173" spans="1:10" ht="12.75" customHeight="1" thickBot="1" x14ac:dyDescent="0.25">
      <c r="A173" s="367"/>
      <c r="B173" s="366"/>
      <c r="C173" s="358"/>
      <c r="D173" s="358"/>
      <c r="E173" s="365"/>
      <c r="F173" s="302"/>
      <c r="G173" s="151"/>
      <c r="H173" s="151"/>
      <c r="I173" s="151"/>
      <c r="J173" s="351"/>
    </row>
    <row r="174" spans="1:10" s="567" customFormat="1" ht="18.75" customHeight="1" thickBot="1" x14ac:dyDescent="0.3">
      <c r="A174" s="569"/>
      <c r="B174" s="570" t="s">
        <v>627</v>
      </c>
      <c r="C174" s="315">
        <f>SUM(C175,C176,C184:C185)</f>
        <v>109511899.31</v>
      </c>
      <c r="D174" s="315">
        <f>SUM(D175,D176,D184:D185)</f>
        <v>109458329.31</v>
      </c>
      <c r="E174" s="561">
        <v>32140048.359999999</v>
      </c>
      <c r="F174" s="317">
        <f>SUM(E175:E176,E184:E185)</f>
        <v>32140048.359999999</v>
      </c>
      <c r="G174" s="550">
        <f>E174/C174*100</f>
        <v>29.348453056247152</v>
      </c>
      <c r="H174" s="550">
        <f t="shared" si="70"/>
        <v>29.362816482403332</v>
      </c>
      <c r="I174" s="550">
        <f t="shared" ref="I174:I175" si="72">E174/J174*100</f>
        <v>241.13848615691981</v>
      </c>
      <c r="J174" s="573">
        <v>13328460.699999999</v>
      </c>
    </row>
    <row r="175" spans="1:10" s="3" customFormat="1" ht="38.25" x14ac:dyDescent="0.2">
      <c r="A175" s="248">
        <v>3111</v>
      </c>
      <c r="B175" s="363" t="s">
        <v>626</v>
      </c>
      <c r="C175" s="362">
        <f>(5.95+3.9+44.064+14.478+0.8+1.8+0.4+2.5)*1000000</f>
        <v>73892000</v>
      </c>
      <c r="D175" s="362">
        <f>(5.95+3.9+44.064+14.478+0.8+1.8+0.4+2.5)*1000000</f>
        <v>73892000</v>
      </c>
      <c r="E175" s="187">
        <v>21913169.359999999</v>
      </c>
      <c r="F175" s="126"/>
      <c r="G175" s="120">
        <f t="shared" ref="G175:G185" si="73">E175/C175*100</f>
        <v>29.655672278460454</v>
      </c>
      <c r="H175" s="120">
        <f t="shared" si="70"/>
        <v>29.655672278460454</v>
      </c>
      <c r="I175" s="120">
        <f t="shared" si="72"/>
        <v>5462.0291482112007</v>
      </c>
      <c r="J175" s="109">
        <v>401191</v>
      </c>
    </row>
    <row r="176" spans="1:10" s="3" customFormat="1" ht="12.75" customHeight="1" x14ac:dyDescent="0.2">
      <c r="A176" s="180">
        <v>3112</v>
      </c>
      <c r="B176" s="180" t="s">
        <v>625</v>
      </c>
      <c r="C176" s="122">
        <f>SUM(C177:C183)</f>
        <v>19516800</v>
      </c>
      <c r="D176" s="122">
        <f>SUM(D177:D183)</f>
        <v>19516800</v>
      </c>
      <c r="E176" s="121">
        <v>10226879</v>
      </c>
      <c r="F176" s="130">
        <f>SUM(E177:E183)</f>
        <v>10226879</v>
      </c>
      <c r="G176" s="120">
        <f t="shared" si="73"/>
        <v>52.400388383341536</v>
      </c>
      <c r="H176" s="120">
        <f t="shared" si="70"/>
        <v>52.400388383341536</v>
      </c>
      <c r="I176" s="120">
        <v>0</v>
      </c>
      <c r="J176" s="6">
        <v>0</v>
      </c>
    </row>
    <row r="177" spans="1:10" s="3" customFormat="1" ht="12.75" customHeight="1" x14ac:dyDescent="0.2">
      <c r="A177" s="180"/>
      <c r="B177" s="360" t="s">
        <v>624</v>
      </c>
      <c r="C177" s="9">
        <v>1427000</v>
      </c>
      <c r="D177" s="9">
        <v>1427000</v>
      </c>
      <c r="E177" s="294">
        <v>2951142</v>
      </c>
      <c r="F177" s="294"/>
      <c r="G177" s="126">
        <f t="shared" si="73"/>
        <v>206.80742817098809</v>
      </c>
      <c r="H177" s="126">
        <f t="shared" ref="H177" si="74">E177/D177*100</f>
        <v>206.80742817098809</v>
      </c>
      <c r="I177" s="126">
        <v>0</v>
      </c>
      <c r="J177" s="296">
        <v>0</v>
      </c>
    </row>
    <row r="178" spans="1:10" s="3" customFormat="1" ht="12.75" customHeight="1" x14ac:dyDescent="0.2">
      <c r="A178" s="180"/>
      <c r="B178" s="360" t="s">
        <v>622</v>
      </c>
      <c r="C178" s="130">
        <f>4209000-150200</f>
        <v>4058800</v>
      </c>
      <c r="D178" s="130">
        <f>4209000-150200</f>
        <v>4058800</v>
      </c>
      <c r="E178" s="126">
        <v>4079714</v>
      </c>
      <c r="F178" s="126"/>
      <c r="G178" s="126">
        <f t="shared" si="73"/>
        <v>100.51527545087218</v>
      </c>
      <c r="H178" s="126">
        <f t="shared" ref="H178:H185" si="75">E178/D178*100</f>
        <v>100.51527545087218</v>
      </c>
      <c r="I178" s="126">
        <v>0</v>
      </c>
      <c r="J178" s="14">
        <v>0</v>
      </c>
    </row>
    <row r="179" spans="1:10" s="3" customFormat="1" ht="12.75" customHeight="1" x14ac:dyDescent="0.2">
      <c r="A179" s="180"/>
      <c r="B179" s="360" t="s">
        <v>621</v>
      </c>
      <c r="C179" s="130">
        <v>2581000</v>
      </c>
      <c r="D179" s="130">
        <v>2581000</v>
      </c>
      <c r="E179" s="130">
        <v>0</v>
      </c>
      <c r="F179" s="130"/>
      <c r="G179" s="126">
        <f t="shared" si="73"/>
        <v>0</v>
      </c>
      <c r="H179" s="126">
        <f t="shared" si="75"/>
        <v>0</v>
      </c>
      <c r="I179" s="126">
        <v>0</v>
      </c>
      <c r="J179" s="14">
        <v>0</v>
      </c>
    </row>
    <row r="180" spans="1:10" s="3" customFormat="1" ht="12.75" customHeight="1" x14ac:dyDescent="0.2">
      <c r="A180" s="180"/>
      <c r="B180" s="360" t="s">
        <v>618</v>
      </c>
      <c r="C180" s="126">
        <v>5450000</v>
      </c>
      <c r="D180" s="126">
        <v>5450000</v>
      </c>
      <c r="E180" s="130">
        <v>0</v>
      </c>
      <c r="F180" s="130"/>
      <c r="G180" s="126">
        <f>E180/C180*100</f>
        <v>0</v>
      </c>
      <c r="H180" s="126">
        <f>E180/D180*100</f>
        <v>0</v>
      </c>
      <c r="I180" s="126">
        <v>0</v>
      </c>
      <c r="J180" s="14">
        <v>0</v>
      </c>
    </row>
    <row r="181" spans="1:10" s="3" customFormat="1" ht="12.75" customHeight="1" x14ac:dyDescent="0.2">
      <c r="A181" s="180"/>
      <c r="B181" s="360" t="s">
        <v>620</v>
      </c>
      <c r="C181" s="126">
        <v>3000000</v>
      </c>
      <c r="D181" s="126">
        <v>3000000</v>
      </c>
      <c r="E181" s="130">
        <v>3183333</v>
      </c>
      <c r="F181" s="130"/>
      <c r="G181" s="126">
        <f t="shared" si="73"/>
        <v>106.11109999999999</v>
      </c>
      <c r="H181" s="126">
        <f t="shared" si="75"/>
        <v>106.11109999999999</v>
      </c>
      <c r="I181" s="126">
        <v>0</v>
      </c>
      <c r="J181" s="14">
        <v>0</v>
      </c>
    </row>
    <row r="182" spans="1:10" s="3" customFormat="1" ht="12.75" customHeight="1" x14ac:dyDescent="0.2">
      <c r="A182" s="180"/>
      <c r="B182" s="360" t="s">
        <v>619</v>
      </c>
      <c r="C182" s="126">
        <v>3000000</v>
      </c>
      <c r="D182" s="126">
        <v>3000000</v>
      </c>
      <c r="E182" s="130">
        <v>0</v>
      </c>
      <c r="F182" s="130"/>
      <c r="G182" s="126">
        <f t="shared" ref="G182" si="76">E182/C182*100</f>
        <v>0</v>
      </c>
      <c r="H182" s="126">
        <f t="shared" ref="H182" si="77">E182/D182*100</f>
        <v>0</v>
      </c>
      <c r="I182" s="126">
        <v>0</v>
      </c>
      <c r="J182" s="14">
        <v>0</v>
      </c>
    </row>
    <row r="183" spans="1:10" s="3" customFormat="1" ht="12.75" customHeight="1" x14ac:dyDescent="0.2">
      <c r="A183" s="180"/>
      <c r="B183" s="360" t="s">
        <v>946</v>
      </c>
      <c r="C183" s="126">
        <v>0</v>
      </c>
      <c r="D183" s="126">
        <v>0</v>
      </c>
      <c r="E183" s="130">
        <v>12690</v>
      </c>
      <c r="F183" s="130"/>
      <c r="G183" s="126">
        <v>0</v>
      </c>
      <c r="H183" s="126">
        <v>0</v>
      </c>
      <c r="I183" s="126">
        <v>0</v>
      </c>
      <c r="J183" s="14">
        <v>0</v>
      </c>
    </row>
    <row r="184" spans="1:10" s="3" customFormat="1" ht="12.75" customHeight="1" x14ac:dyDescent="0.2">
      <c r="A184" s="180">
        <v>3121</v>
      </c>
      <c r="B184" s="180" t="s">
        <v>614</v>
      </c>
      <c r="C184" s="120">
        <v>400000</v>
      </c>
      <c r="D184" s="120">
        <v>400000</v>
      </c>
      <c r="E184" s="121">
        <v>0</v>
      </c>
      <c r="F184" s="130"/>
      <c r="G184" s="120">
        <f t="shared" si="73"/>
        <v>0</v>
      </c>
      <c r="H184" s="120">
        <f t="shared" si="75"/>
        <v>0</v>
      </c>
      <c r="I184" s="120">
        <f t="shared" ref="I184" si="78">E184/J184*100</f>
        <v>0</v>
      </c>
      <c r="J184" s="14">
        <v>81112.7</v>
      </c>
    </row>
    <row r="185" spans="1:10" s="3" customFormat="1" ht="12.75" customHeight="1" x14ac:dyDescent="0.2">
      <c r="A185" s="180">
        <v>3129</v>
      </c>
      <c r="B185" s="180" t="s">
        <v>612</v>
      </c>
      <c r="C185" s="122">
        <f>SUM(C186:C188)</f>
        <v>15703099.310000001</v>
      </c>
      <c r="D185" s="122">
        <f>SUM(D186:D188)</f>
        <v>15649529.310000001</v>
      </c>
      <c r="E185" s="121">
        <v>0</v>
      </c>
      <c r="F185" s="130">
        <f>SUM(E186:E188)</f>
        <v>0</v>
      </c>
      <c r="G185" s="120">
        <f t="shared" si="73"/>
        <v>0</v>
      </c>
      <c r="H185" s="120">
        <f t="shared" si="75"/>
        <v>0</v>
      </c>
      <c r="I185" s="120">
        <v>0</v>
      </c>
      <c r="J185" s="14">
        <v>0</v>
      </c>
    </row>
    <row r="186" spans="1:10" s="3" customFormat="1" ht="12.75" customHeight="1" x14ac:dyDescent="0.2">
      <c r="A186" s="346"/>
      <c r="B186" s="360" t="s">
        <v>610</v>
      </c>
      <c r="C186" s="126">
        <v>1053570</v>
      </c>
      <c r="D186" s="126">
        <f>1053570-1053570</f>
        <v>0</v>
      </c>
      <c r="E186" s="130">
        <v>0</v>
      </c>
      <c r="F186" s="130"/>
      <c r="G186" s="126">
        <f>E186/100</f>
        <v>0</v>
      </c>
      <c r="H186" s="126">
        <v>0</v>
      </c>
      <c r="I186" s="126">
        <v>0</v>
      </c>
      <c r="J186" s="14">
        <v>0</v>
      </c>
    </row>
    <row r="187" spans="1:10" s="3" customFormat="1" ht="12.75" customHeight="1" x14ac:dyDescent="0.2">
      <c r="A187" s="346"/>
      <c r="B187" s="360" t="s">
        <v>889</v>
      </c>
      <c r="C187" s="126">
        <v>0</v>
      </c>
      <c r="D187" s="126">
        <v>1000000</v>
      </c>
      <c r="E187" s="130">
        <v>0</v>
      </c>
      <c r="F187" s="130"/>
      <c r="G187" s="126">
        <v>0</v>
      </c>
      <c r="H187" s="126">
        <f>E187/D187*100</f>
        <v>0</v>
      </c>
      <c r="I187" s="126">
        <v>0</v>
      </c>
      <c r="J187" s="14">
        <v>0</v>
      </c>
    </row>
    <row r="188" spans="1:10" s="3" customFormat="1" ht="12" customHeight="1" x14ac:dyDescent="0.2">
      <c r="A188" s="346"/>
      <c r="B188" s="360" t="s">
        <v>609</v>
      </c>
      <c r="C188" s="126">
        <v>14649529.310000001</v>
      </c>
      <c r="D188" s="126">
        <v>14649529.310000001</v>
      </c>
      <c r="E188" s="130">
        <v>0</v>
      </c>
      <c r="F188" s="130"/>
      <c r="G188" s="126">
        <v>0</v>
      </c>
      <c r="H188" s="126">
        <f>E188/D188*100</f>
        <v>0</v>
      </c>
      <c r="I188" s="126">
        <v>0</v>
      </c>
      <c r="J188" s="6">
        <v>0</v>
      </c>
    </row>
    <row r="189" spans="1:10" s="3" customFormat="1" ht="13.5" thickBot="1" x14ac:dyDescent="0.25">
      <c r="A189" s="346"/>
      <c r="B189" s="359"/>
      <c r="C189" s="358"/>
      <c r="D189" s="358"/>
      <c r="E189" s="117"/>
      <c r="F189" s="117"/>
      <c r="G189" s="151"/>
      <c r="H189" s="151"/>
      <c r="I189" s="151"/>
      <c r="J189" s="6"/>
    </row>
    <row r="190" spans="1:10" s="572" customFormat="1" ht="18.75" customHeight="1" thickBot="1" x14ac:dyDescent="0.35">
      <c r="A190" s="139"/>
      <c r="B190" s="139" t="s">
        <v>608</v>
      </c>
      <c r="C190" s="457">
        <f>SUM(C191,C194:C196,C211,C220,C225:C227,C232,C242)</f>
        <v>81229895.713500008</v>
      </c>
      <c r="D190" s="457">
        <f>SUM(D191,D194:D196,D211,D220,D226:D227,D232,D242)</f>
        <v>101584962.39350002</v>
      </c>
      <c r="E190" s="181">
        <v>51299363.049999997</v>
      </c>
      <c r="F190" s="511">
        <f>SUM(E191,E194:E196,E211,E220,E225:E227,E232,E242)</f>
        <v>51299363.049999997</v>
      </c>
      <c r="G190" s="571">
        <f>E190/C190*100</f>
        <v>63.153304087615979</v>
      </c>
      <c r="H190" s="571">
        <f t="shared" ref="H190:H196" si="79">E190/D190*100</f>
        <v>50.498973313871517</v>
      </c>
      <c r="I190" s="571">
        <f>E190/J190*100</f>
        <v>125.06966884565188</v>
      </c>
      <c r="J190" s="568">
        <v>41016629.789999999</v>
      </c>
    </row>
    <row r="191" spans="1:10" s="3" customFormat="1" ht="12.75" customHeight="1" x14ac:dyDescent="0.2">
      <c r="A191" s="356">
        <v>4111</v>
      </c>
      <c r="B191" s="356" t="s">
        <v>607</v>
      </c>
      <c r="C191" s="357">
        <f>SUM(C192:C193)</f>
        <v>0</v>
      </c>
      <c r="D191" s="357">
        <f>SUM(D192:D193)</f>
        <v>1029933.11</v>
      </c>
      <c r="E191" s="362">
        <v>1029933.11</v>
      </c>
      <c r="F191" s="513">
        <f>SUM(E192:E193)</f>
        <v>1029933.11</v>
      </c>
      <c r="G191" s="120">
        <v>0</v>
      </c>
      <c r="H191" s="120">
        <f t="shared" si="79"/>
        <v>100</v>
      </c>
      <c r="I191" s="120">
        <v>0</v>
      </c>
      <c r="J191" s="14">
        <v>0</v>
      </c>
    </row>
    <row r="192" spans="1:10" s="3" customFormat="1" ht="12.75" customHeight="1" x14ac:dyDescent="0.2">
      <c r="A192" s="356"/>
      <c r="B192" s="689" t="s">
        <v>929</v>
      </c>
      <c r="C192" s="354">
        <v>0</v>
      </c>
      <c r="D192" s="354">
        <v>3000</v>
      </c>
      <c r="E192" s="126">
        <v>3000</v>
      </c>
      <c r="F192" s="126"/>
      <c r="G192" s="126">
        <v>0</v>
      </c>
      <c r="H192" s="126">
        <f t="shared" ref="H192" si="80">E192/D192*100</f>
        <v>100</v>
      </c>
      <c r="I192" s="126">
        <v>0</v>
      </c>
      <c r="J192" s="6">
        <v>0</v>
      </c>
    </row>
    <row r="193" spans="1:16" s="3" customFormat="1" ht="12.75" customHeight="1" x14ac:dyDescent="0.2">
      <c r="A193" s="356"/>
      <c r="B193" s="689" t="s">
        <v>930</v>
      </c>
      <c r="C193" s="354">
        <v>0</v>
      </c>
      <c r="D193" s="354">
        <f>1026933.11</f>
        <v>1026933.11</v>
      </c>
      <c r="E193" s="126">
        <v>1026933.11</v>
      </c>
      <c r="F193" s="126"/>
      <c r="G193" s="126">
        <v>0</v>
      </c>
      <c r="H193" s="126">
        <f t="shared" si="79"/>
        <v>100</v>
      </c>
      <c r="I193" s="126">
        <v>0</v>
      </c>
      <c r="J193" s="6">
        <v>0</v>
      </c>
    </row>
    <row r="194" spans="1:16" ht="89.25" x14ac:dyDescent="0.2">
      <c r="A194" s="137">
        <v>4112</v>
      </c>
      <c r="B194" s="175" t="s">
        <v>605</v>
      </c>
      <c r="C194" s="24">
        <f>(958935.0949+709659.9826+520950+433320+542800+39919+4236063.649+7723640.937+23616817.65+627210+1363000+1530786+236555+42.69)+918800</f>
        <v>43458500.0035</v>
      </c>
      <c r="D194" s="24">
        <f>(958935.0949+709659.9826+520950+433320+542800+39919+4236063.649+7723640.937+23616817.65+627210+1363000+1530786+236555+42.69)+918800</f>
        <v>43458500.0035</v>
      </c>
      <c r="E194" s="120">
        <v>21729250</v>
      </c>
      <c r="F194" s="126"/>
      <c r="G194" s="120">
        <f t="shared" ref="G194:G245" si="81">E194/C194*100</f>
        <v>49.99999999597317</v>
      </c>
      <c r="H194" s="120">
        <f t="shared" si="79"/>
        <v>49.99999999597317</v>
      </c>
      <c r="I194" s="120">
        <f t="shared" ref="I194:I196" si="82">E194/J194*100</f>
        <v>102.15985998209392</v>
      </c>
      <c r="J194" s="6">
        <v>21269851</v>
      </c>
    </row>
    <row r="195" spans="1:16" s="3" customFormat="1" ht="12.75" customHeight="1" x14ac:dyDescent="0.2">
      <c r="A195" s="123">
        <v>4113</v>
      </c>
      <c r="B195" s="123" t="s">
        <v>939</v>
      </c>
      <c r="C195" s="122">
        <v>0</v>
      </c>
      <c r="D195" s="122">
        <v>0</v>
      </c>
      <c r="E195" s="120">
        <v>13948</v>
      </c>
      <c r="F195" s="126"/>
      <c r="G195" s="120">
        <v>0</v>
      </c>
      <c r="H195" s="120">
        <v>0</v>
      </c>
      <c r="I195" s="120">
        <v>0</v>
      </c>
      <c r="J195" s="6">
        <v>0</v>
      </c>
    </row>
    <row r="196" spans="1:16" s="3" customFormat="1" ht="12.75" customHeight="1" x14ac:dyDescent="0.2">
      <c r="A196" s="123">
        <v>4116</v>
      </c>
      <c r="B196" s="123" t="s">
        <v>604</v>
      </c>
      <c r="C196" s="122">
        <f>SUM(C197:C210)</f>
        <v>8333206</v>
      </c>
      <c r="D196" s="122">
        <f>SUM(D197:D210)</f>
        <v>12970525.899999999</v>
      </c>
      <c r="E196" s="120">
        <v>9230775.9000000004</v>
      </c>
      <c r="F196" s="126">
        <f>SUM(E197:E210)</f>
        <v>9230775.8999999985</v>
      </c>
      <c r="G196" s="120">
        <f t="shared" si="81"/>
        <v>110.77100338093166</v>
      </c>
      <c r="H196" s="120">
        <f t="shared" si="79"/>
        <v>71.167321750616154</v>
      </c>
      <c r="I196" s="120">
        <f t="shared" si="82"/>
        <v>186.31847820673346</v>
      </c>
      <c r="J196" s="6">
        <v>4954299.75</v>
      </c>
    </row>
    <row r="197" spans="1:16" ht="12.75" customHeight="1" x14ac:dyDescent="0.2">
      <c r="A197" s="155"/>
      <c r="B197" s="15" t="s">
        <v>603</v>
      </c>
      <c r="C197" s="9">
        <v>50000</v>
      </c>
      <c r="D197" s="9">
        <v>50000</v>
      </c>
      <c r="E197" s="126">
        <v>0</v>
      </c>
      <c r="F197" s="126"/>
      <c r="G197" s="126">
        <f t="shared" si="81"/>
        <v>0</v>
      </c>
      <c r="H197" s="126">
        <f t="shared" ref="H197:H231" si="83">E197/D197*100</f>
        <v>0</v>
      </c>
      <c r="I197" s="126">
        <v>0</v>
      </c>
      <c r="J197" s="6">
        <v>0</v>
      </c>
    </row>
    <row r="198" spans="1:16" ht="12.75" customHeight="1" x14ac:dyDescent="0.2">
      <c r="A198" s="155"/>
      <c r="B198" s="155" t="s">
        <v>602</v>
      </c>
      <c r="C198" s="126">
        <v>0</v>
      </c>
      <c r="D198" s="126">
        <v>0</v>
      </c>
      <c r="E198" s="130">
        <v>0</v>
      </c>
      <c r="F198" s="130"/>
      <c r="G198" s="126">
        <v>0</v>
      </c>
      <c r="H198" s="126">
        <v>0</v>
      </c>
      <c r="I198" s="126">
        <f>E198/J198*100</f>
        <v>0</v>
      </c>
      <c r="J198" s="14">
        <v>144000</v>
      </c>
    </row>
    <row r="199" spans="1:16" ht="12.75" customHeight="1" x14ac:dyDescent="0.2">
      <c r="A199" s="123"/>
      <c r="B199" s="131" t="s">
        <v>601</v>
      </c>
      <c r="C199" s="126">
        <v>7145900</v>
      </c>
      <c r="D199" s="126">
        <v>7145900</v>
      </c>
      <c r="E199" s="10">
        <v>3572950</v>
      </c>
      <c r="F199" s="130"/>
      <c r="G199" s="126">
        <f t="shared" si="81"/>
        <v>50</v>
      </c>
      <c r="H199" s="126">
        <f t="shared" si="83"/>
        <v>50</v>
      </c>
      <c r="I199" s="126">
        <f t="shared" ref="I199" si="84">E199/J199*100</f>
        <v>105.82599037393558</v>
      </c>
      <c r="J199" s="14">
        <v>3376250</v>
      </c>
    </row>
    <row r="200" spans="1:16" ht="12.75" customHeight="1" x14ac:dyDescent="0.2">
      <c r="A200" s="185"/>
      <c r="B200" s="185" t="s">
        <v>600</v>
      </c>
      <c r="C200" s="126">
        <v>1137306</v>
      </c>
      <c r="D200" s="126">
        <f>1137306+(-1137306+1211186)</f>
        <v>1211186</v>
      </c>
      <c r="E200" s="10">
        <v>1211186</v>
      </c>
      <c r="F200" s="130"/>
      <c r="G200" s="126">
        <f t="shared" ref="G200" si="85">E200/C200*100</f>
        <v>106.49605295320697</v>
      </c>
      <c r="H200" s="126">
        <f t="shared" ref="H200" si="86">E200/D200*100</f>
        <v>100</v>
      </c>
      <c r="I200" s="126">
        <f t="shared" ref="I200" si="87">E200/J200*100</f>
        <v>106.49605295320697</v>
      </c>
      <c r="J200" s="14">
        <v>1137306</v>
      </c>
    </row>
    <row r="201" spans="1:16" ht="12.75" customHeight="1" x14ac:dyDescent="0.2">
      <c r="A201" s="185"/>
      <c r="B201" s="185" t="s">
        <v>919</v>
      </c>
      <c r="C201" s="126">
        <v>0</v>
      </c>
      <c r="D201" s="126">
        <v>91988</v>
      </c>
      <c r="E201" s="10">
        <v>91988</v>
      </c>
      <c r="F201" s="130"/>
      <c r="G201" s="126">
        <v>0</v>
      </c>
      <c r="H201" s="126">
        <f t="shared" si="83"/>
        <v>100</v>
      </c>
      <c r="I201" s="126">
        <v>0</v>
      </c>
      <c r="J201" s="14">
        <v>0</v>
      </c>
    </row>
    <row r="202" spans="1:16" ht="12.75" customHeight="1" x14ac:dyDescent="0.2">
      <c r="A202" s="342"/>
      <c r="B202" s="185" t="s">
        <v>909</v>
      </c>
      <c r="C202" s="126">
        <v>0</v>
      </c>
      <c r="D202" s="126">
        <v>1395266</v>
      </c>
      <c r="E202" s="130">
        <v>1395266</v>
      </c>
      <c r="F202" s="130"/>
      <c r="G202" s="126">
        <v>0</v>
      </c>
      <c r="H202" s="126">
        <f t="shared" si="83"/>
        <v>100</v>
      </c>
      <c r="I202" s="126">
        <v>0</v>
      </c>
      <c r="J202" s="14">
        <v>0</v>
      </c>
    </row>
    <row r="203" spans="1:16" s="3" customFormat="1" ht="12.75" customHeight="1" x14ac:dyDescent="0.2">
      <c r="A203" s="343"/>
      <c r="B203" s="185" t="s">
        <v>870</v>
      </c>
      <c r="C203" s="126">
        <v>0</v>
      </c>
      <c r="D203" s="126">
        <v>68450.27</v>
      </c>
      <c r="E203" s="130">
        <v>68450.27</v>
      </c>
      <c r="F203" s="130"/>
      <c r="G203" s="126">
        <v>0</v>
      </c>
      <c r="H203" s="126">
        <f>E203/D203*100</f>
        <v>100</v>
      </c>
      <c r="I203" s="126">
        <f>E203/J203*100</f>
        <v>5476.6788014561753</v>
      </c>
      <c r="J203" s="14">
        <v>1249.8499999999999</v>
      </c>
      <c r="K203" s="341"/>
    </row>
    <row r="204" spans="1:16" s="3" customFormat="1" ht="12.75" customHeight="1" x14ac:dyDescent="0.2">
      <c r="A204" s="343"/>
      <c r="B204" s="185" t="s">
        <v>871</v>
      </c>
      <c r="C204" s="126">
        <v>0</v>
      </c>
      <c r="D204" s="126">
        <v>1163654.6299999999</v>
      </c>
      <c r="E204" s="130">
        <v>1163654.6299999999</v>
      </c>
      <c r="F204" s="130"/>
      <c r="G204" s="126">
        <v>0</v>
      </c>
      <c r="H204" s="126">
        <f t="shared" si="83"/>
        <v>100</v>
      </c>
      <c r="I204" s="126">
        <f t="shared" ref="I204:I218" si="88">E204/J204*100</f>
        <v>4655.1957642747693</v>
      </c>
      <c r="J204" s="14">
        <v>24996.9</v>
      </c>
      <c r="K204" s="341"/>
    </row>
    <row r="205" spans="1:16" s="3" customFormat="1" ht="12.75" customHeight="1" x14ac:dyDescent="0.2">
      <c r="A205" s="343"/>
      <c r="B205" s="185" t="s">
        <v>883</v>
      </c>
      <c r="C205" s="126">
        <v>0</v>
      </c>
      <c r="D205" s="126">
        <v>726</v>
      </c>
      <c r="E205" s="130">
        <v>726</v>
      </c>
      <c r="F205" s="130"/>
      <c r="G205" s="126">
        <v>0</v>
      </c>
      <c r="H205" s="126">
        <f>E205/D205*100</f>
        <v>100</v>
      </c>
      <c r="I205" s="126">
        <f>E205/J205*100</f>
        <v>58.086970436452376</v>
      </c>
      <c r="J205" s="14">
        <v>1249.8499999999999</v>
      </c>
      <c r="K205" s="341"/>
    </row>
    <row r="206" spans="1:16" s="3" customFormat="1" ht="12.75" customHeight="1" x14ac:dyDescent="0.2">
      <c r="A206" s="343"/>
      <c r="B206" s="185" t="s">
        <v>884</v>
      </c>
      <c r="C206" s="126">
        <v>0</v>
      </c>
      <c r="D206" s="126">
        <v>14520</v>
      </c>
      <c r="E206" s="130">
        <v>14520</v>
      </c>
      <c r="F206" s="130"/>
      <c r="G206" s="126">
        <v>0</v>
      </c>
      <c r="H206" s="126">
        <f t="shared" ref="H206:H207" si="89">E206/D206*100</f>
        <v>100</v>
      </c>
      <c r="I206" s="126">
        <f t="shared" ref="I206:I207" si="90">E206/J206*100</f>
        <v>58.087202813148828</v>
      </c>
      <c r="J206" s="14">
        <v>24996.9</v>
      </c>
      <c r="K206" s="341"/>
    </row>
    <row r="207" spans="1:16" s="3" customFormat="1" ht="12.75" customHeight="1" x14ac:dyDescent="0.2">
      <c r="A207" s="343"/>
      <c r="B207" s="185" t="s">
        <v>920</v>
      </c>
      <c r="C207" s="126">
        <v>0</v>
      </c>
      <c r="D207" s="126">
        <v>167860</v>
      </c>
      <c r="E207" s="302">
        <v>51060</v>
      </c>
      <c r="F207" s="117"/>
      <c r="G207" s="126">
        <v>0</v>
      </c>
      <c r="H207" s="126">
        <f t="shared" si="89"/>
        <v>30.418205647563447</v>
      </c>
      <c r="I207" s="126">
        <f t="shared" si="90"/>
        <v>18.876364617722192</v>
      </c>
      <c r="J207" s="14">
        <v>270497</v>
      </c>
      <c r="K207" s="341"/>
    </row>
    <row r="208" spans="1:16" s="3" customFormat="1" ht="12.75" customHeight="1" x14ac:dyDescent="0.2">
      <c r="A208" s="156"/>
      <c r="B208" s="185" t="s">
        <v>874</v>
      </c>
      <c r="C208" s="297">
        <v>0</v>
      </c>
      <c r="D208" s="297">
        <f>(70381.36+398827.64)</f>
        <v>469209</v>
      </c>
      <c r="E208" s="302">
        <v>469209</v>
      </c>
      <c r="F208" s="117"/>
      <c r="G208" s="126">
        <v>0</v>
      </c>
      <c r="H208" s="126">
        <f t="shared" si="83"/>
        <v>100</v>
      </c>
      <c r="I208" s="126">
        <v>0</v>
      </c>
      <c r="J208" s="14">
        <v>0</v>
      </c>
      <c r="P208" s="341"/>
    </row>
    <row r="209" spans="1:16" s="3" customFormat="1" ht="12.75" customHeight="1" x14ac:dyDescent="0.2">
      <c r="A209" s="156"/>
      <c r="B209" s="185" t="s">
        <v>898</v>
      </c>
      <c r="C209" s="297">
        <v>0</v>
      </c>
      <c r="D209" s="297">
        <f>(169419.91+960046.09)</f>
        <v>1129466</v>
      </c>
      <c r="E209" s="302">
        <v>1129466</v>
      </c>
      <c r="F209" s="117"/>
      <c r="G209" s="126">
        <v>0</v>
      </c>
      <c r="H209" s="126">
        <f t="shared" ref="H209" si="91">E209/D209*100</f>
        <v>100</v>
      </c>
      <c r="I209" s="126">
        <v>0</v>
      </c>
      <c r="J209" s="14">
        <v>0</v>
      </c>
      <c r="P209" s="341"/>
    </row>
    <row r="210" spans="1:16" s="3" customFormat="1" ht="12.75" customHeight="1" x14ac:dyDescent="0.2">
      <c r="A210" s="343"/>
      <c r="B210" s="185" t="s">
        <v>921</v>
      </c>
      <c r="C210" s="126">
        <v>0</v>
      </c>
      <c r="D210" s="126">
        <v>62300</v>
      </c>
      <c r="E210" s="302">
        <v>62300</v>
      </c>
      <c r="F210" s="117"/>
      <c r="G210" s="126">
        <v>0</v>
      </c>
      <c r="H210" s="126">
        <f>E210/D210*100</f>
        <v>100</v>
      </c>
      <c r="I210" s="126">
        <v>0</v>
      </c>
      <c r="J210" s="14">
        <v>0</v>
      </c>
      <c r="K210" s="341"/>
    </row>
    <row r="211" spans="1:16" ht="12.75" customHeight="1" x14ac:dyDescent="0.2">
      <c r="A211" s="123">
        <v>4121</v>
      </c>
      <c r="B211" s="123" t="s">
        <v>599</v>
      </c>
      <c r="C211" s="122">
        <f>SUM(C212:C219)</f>
        <v>1631120</v>
      </c>
      <c r="D211" s="122">
        <f>SUM(D212:D219)</f>
        <v>2103780</v>
      </c>
      <c r="E211" s="134">
        <v>1802780</v>
      </c>
      <c r="F211" s="117">
        <f>SUM(E212:E219)</f>
        <v>1802780</v>
      </c>
      <c r="G211" s="120">
        <f t="shared" si="81"/>
        <v>110.52405708960713</v>
      </c>
      <c r="H211" s="120">
        <f t="shared" ref="H211:H218" si="92">E211/D211*100</f>
        <v>85.692420310108474</v>
      </c>
      <c r="I211" s="120">
        <f t="shared" si="88"/>
        <v>459.89285714285711</v>
      </c>
      <c r="J211" s="14">
        <v>392000</v>
      </c>
    </row>
    <row r="212" spans="1:16" ht="12.75" customHeight="1" x14ac:dyDescent="0.2">
      <c r="A212" s="123"/>
      <c r="B212" s="155" t="s">
        <v>598</v>
      </c>
      <c r="C212" s="126">
        <v>260000</v>
      </c>
      <c r="D212" s="126">
        <f>260000+34000</f>
        <v>294000</v>
      </c>
      <c r="E212" s="302">
        <v>294000</v>
      </c>
      <c r="F212" s="117">
        <f>E211-F211</f>
        <v>0</v>
      </c>
      <c r="G212" s="126">
        <f t="shared" si="81"/>
        <v>113.07692307692308</v>
      </c>
      <c r="H212" s="126">
        <f t="shared" si="92"/>
        <v>100</v>
      </c>
      <c r="I212" s="126">
        <f t="shared" si="88"/>
        <v>89.634146341463421</v>
      </c>
      <c r="J212" s="14">
        <v>328000</v>
      </c>
    </row>
    <row r="213" spans="1:16" x14ac:dyDescent="0.2">
      <c r="A213" s="123"/>
      <c r="B213" s="155" t="s">
        <v>597</v>
      </c>
      <c r="C213" s="126">
        <v>3000</v>
      </c>
      <c r="D213" s="126">
        <v>3000</v>
      </c>
      <c r="E213" s="302">
        <v>2585</v>
      </c>
      <c r="F213" s="117"/>
      <c r="G213" s="126">
        <f t="shared" si="81"/>
        <v>86.166666666666671</v>
      </c>
      <c r="H213" s="126">
        <f t="shared" si="92"/>
        <v>86.166666666666671</v>
      </c>
      <c r="I213" s="126">
        <v>0</v>
      </c>
      <c r="J213" s="14">
        <v>0</v>
      </c>
    </row>
    <row r="214" spans="1:16" ht="12.75" customHeight="1" x14ac:dyDescent="0.2">
      <c r="A214" s="184"/>
      <c r="B214" s="185" t="s">
        <v>596</v>
      </c>
      <c r="C214" s="126">
        <v>0</v>
      </c>
      <c r="D214" s="126">
        <v>0</v>
      </c>
      <c r="E214" s="302">
        <v>0</v>
      </c>
      <c r="F214" s="117"/>
      <c r="G214" s="126">
        <v>0</v>
      </c>
      <c r="H214" s="126">
        <v>0</v>
      </c>
      <c r="I214" s="126">
        <f t="shared" si="88"/>
        <v>0</v>
      </c>
      <c r="J214" s="14">
        <v>18000</v>
      </c>
      <c r="K214" s="341"/>
    </row>
    <row r="215" spans="1:16" ht="12.75" customHeight="1" x14ac:dyDescent="0.2">
      <c r="A215" s="184"/>
      <c r="B215" s="185" t="s">
        <v>595</v>
      </c>
      <c r="C215" s="126">
        <v>735147</v>
      </c>
      <c r="D215" s="126">
        <v>735147</v>
      </c>
      <c r="E215" s="302">
        <v>719293</v>
      </c>
      <c r="F215" s="117"/>
      <c r="G215" s="126">
        <f t="shared" si="81"/>
        <v>97.84342451237643</v>
      </c>
      <c r="H215" s="126">
        <f t="shared" si="92"/>
        <v>97.84342451237643</v>
      </c>
      <c r="I215" s="126">
        <f t="shared" si="88"/>
        <v>1598.4288888888889</v>
      </c>
      <c r="J215" s="14">
        <v>45000</v>
      </c>
      <c r="K215" s="341"/>
    </row>
    <row r="216" spans="1:16" ht="12.75" customHeight="1" x14ac:dyDescent="0.2">
      <c r="A216" s="184"/>
      <c r="B216" s="185" t="s">
        <v>594</v>
      </c>
      <c r="C216" s="126">
        <v>632973</v>
      </c>
      <c r="D216" s="126">
        <v>632973</v>
      </c>
      <c r="E216" s="302">
        <v>632973</v>
      </c>
      <c r="F216" s="117"/>
      <c r="G216" s="126">
        <f t="shared" ref="G216" si="93">E216/C216*100</f>
        <v>100</v>
      </c>
      <c r="H216" s="126">
        <f t="shared" ref="H216" si="94">E216/D216*100</f>
        <v>100</v>
      </c>
      <c r="I216" s="126">
        <v>0</v>
      </c>
      <c r="J216" s="14">
        <v>0</v>
      </c>
      <c r="K216" s="341"/>
    </row>
    <row r="217" spans="1:16" ht="12.75" customHeight="1" x14ac:dyDescent="0.2">
      <c r="A217" s="184"/>
      <c r="B217" s="185" t="s">
        <v>931</v>
      </c>
      <c r="C217" s="126">
        <v>0</v>
      </c>
      <c r="D217" s="126">
        <v>434660</v>
      </c>
      <c r="E217" s="302">
        <v>149629</v>
      </c>
      <c r="F217" s="117"/>
      <c r="G217" s="126">
        <v>0</v>
      </c>
      <c r="H217" s="126">
        <f t="shared" si="92"/>
        <v>34.424377674504207</v>
      </c>
      <c r="I217" s="126">
        <v>0</v>
      </c>
      <c r="J217" s="14">
        <v>0</v>
      </c>
      <c r="K217" s="341"/>
    </row>
    <row r="218" spans="1:16" ht="12.75" customHeight="1" x14ac:dyDescent="0.2">
      <c r="A218" s="184"/>
      <c r="B218" s="185" t="s">
        <v>593</v>
      </c>
      <c r="C218" s="126">
        <v>0</v>
      </c>
      <c r="D218" s="126">
        <v>4000</v>
      </c>
      <c r="E218" s="302">
        <v>4000</v>
      </c>
      <c r="F218" s="117"/>
      <c r="G218" s="126">
        <v>0</v>
      </c>
      <c r="H218" s="126">
        <f t="shared" si="92"/>
        <v>100</v>
      </c>
      <c r="I218" s="126">
        <f t="shared" si="88"/>
        <v>400</v>
      </c>
      <c r="J218" s="14">
        <v>1000</v>
      </c>
    </row>
    <row r="219" spans="1:16" x14ac:dyDescent="0.2">
      <c r="A219" s="123"/>
      <c r="B219" s="155" t="s">
        <v>592</v>
      </c>
      <c r="C219" s="126">
        <v>0</v>
      </c>
      <c r="D219" s="126">
        <v>0</v>
      </c>
      <c r="E219" s="302">
        <v>300</v>
      </c>
      <c r="F219" s="117"/>
      <c r="G219" s="126">
        <v>0</v>
      </c>
      <c r="H219" s="126">
        <v>0</v>
      </c>
      <c r="I219" s="126">
        <v>0</v>
      </c>
      <c r="J219" s="14">
        <v>0</v>
      </c>
    </row>
    <row r="220" spans="1:16" ht="12.75" customHeight="1" x14ac:dyDescent="0.2">
      <c r="A220" s="184">
        <v>4122</v>
      </c>
      <c r="B220" s="350" t="s">
        <v>591</v>
      </c>
      <c r="C220" s="121">
        <f>SUM(C221:C224)</f>
        <v>0</v>
      </c>
      <c r="D220" s="121">
        <f>SUM(D221:D224)</f>
        <v>9913000</v>
      </c>
      <c r="E220" s="18">
        <v>5567900</v>
      </c>
      <c r="F220" s="130">
        <f>SUM(E221:E224)</f>
        <v>5567900</v>
      </c>
      <c r="G220" s="120">
        <v>0</v>
      </c>
      <c r="H220" s="120">
        <f t="shared" si="83"/>
        <v>56.167658630081704</v>
      </c>
      <c r="I220" s="120">
        <f t="shared" ref="I220:I224" si="95">E220/J220*100</f>
        <v>117.91901393536364</v>
      </c>
      <c r="J220" s="14">
        <v>4721800</v>
      </c>
      <c r="K220" s="341"/>
    </row>
    <row r="221" spans="1:16" s="3" customFormat="1" ht="12.75" customHeight="1" x14ac:dyDescent="0.2">
      <c r="A221" s="343"/>
      <c r="B221" s="342" t="s">
        <v>590</v>
      </c>
      <c r="C221" s="126">
        <v>0</v>
      </c>
      <c r="D221" s="126">
        <v>106000</v>
      </c>
      <c r="E221" s="130">
        <v>106000</v>
      </c>
      <c r="F221" s="130"/>
      <c r="G221" s="126">
        <v>0</v>
      </c>
      <c r="H221" s="126">
        <f t="shared" si="83"/>
        <v>100</v>
      </c>
      <c r="I221" s="126">
        <f t="shared" si="95"/>
        <v>147.22222222222223</v>
      </c>
      <c r="J221" s="14">
        <v>72000</v>
      </c>
      <c r="K221" s="341"/>
    </row>
    <row r="222" spans="1:16" s="3" customFormat="1" ht="12.75" customHeight="1" x14ac:dyDescent="0.2">
      <c r="A222" s="343"/>
      <c r="B222" s="342" t="s">
        <v>588</v>
      </c>
      <c r="C222" s="126">
        <v>0</v>
      </c>
      <c r="D222" s="126">
        <f>4123000</f>
        <v>4123000</v>
      </c>
      <c r="E222" s="130">
        <v>2061500</v>
      </c>
      <c r="F222" s="130"/>
      <c r="G222" s="126">
        <v>0</v>
      </c>
      <c r="H222" s="126">
        <f t="shared" ref="H222" si="96">E222/D222*100</f>
        <v>50</v>
      </c>
      <c r="I222" s="126">
        <f t="shared" ref="I222" si="97">E222/J222*100</f>
        <v>130.76435141135428</v>
      </c>
      <c r="J222" s="14">
        <v>1576500</v>
      </c>
      <c r="K222" s="341"/>
    </row>
    <row r="223" spans="1:16" s="3" customFormat="1" ht="12.75" customHeight="1" x14ac:dyDescent="0.2">
      <c r="A223" s="343"/>
      <c r="B223" s="342" t="s">
        <v>907</v>
      </c>
      <c r="C223" s="126">
        <v>0</v>
      </c>
      <c r="D223" s="126">
        <v>100000</v>
      </c>
      <c r="E223" s="130">
        <v>50000</v>
      </c>
      <c r="F223" s="130"/>
      <c r="G223" s="126">
        <v>0</v>
      </c>
      <c r="H223" s="126">
        <f t="shared" si="83"/>
        <v>50</v>
      </c>
      <c r="I223" s="126">
        <v>0</v>
      </c>
      <c r="J223" s="14">
        <v>0</v>
      </c>
      <c r="K223" s="341"/>
    </row>
    <row r="224" spans="1:16" ht="12.75" customHeight="1" x14ac:dyDescent="0.2">
      <c r="A224" s="184"/>
      <c r="B224" s="185" t="s">
        <v>587</v>
      </c>
      <c r="C224" s="126">
        <v>0</v>
      </c>
      <c r="D224" s="126">
        <f>5584000</f>
        <v>5584000</v>
      </c>
      <c r="E224" s="130">
        <v>3350400</v>
      </c>
      <c r="F224" s="130"/>
      <c r="G224" s="126">
        <v>0</v>
      </c>
      <c r="H224" s="126">
        <f t="shared" si="83"/>
        <v>60</v>
      </c>
      <c r="I224" s="126">
        <f t="shared" si="95"/>
        <v>109.53315025500197</v>
      </c>
      <c r="J224" s="351">
        <v>3058800</v>
      </c>
      <c r="K224" s="341"/>
    </row>
    <row r="225" spans="1:11" s="3" customFormat="1" ht="12.75" customHeight="1" x14ac:dyDescent="0.2">
      <c r="A225" s="576">
        <v>4129</v>
      </c>
      <c r="B225" s="19" t="s">
        <v>947</v>
      </c>
      <c r="C225" s="120">
        <v>0</v>
      </c>
      <c r="D225" s="120">
        <v>0</v>
      </c>
      <c r="E225" s="121">
        <v>1000</v>
      </c>
      <c r="F225" s="130"/>
      <c r="G225" s="120">
        <v>0</v>
      </c>
      <c r="H225" s="120">
        <v>0</v>
      </c>
      <c r="I225" s="120">
        <v>0</v>
      </c>
      <c r="J225" s="14">
        <v>0</v>
      </c>
    </row>
    <row r="226" spans="1:11" s="3" customFormat="1" ht="12.75" customHeight="1" x14ac:dyDescent="0.2">
      <c r="A226" s="576">
        <v>4134</v>
      </c>
      <c r="B226" s="123" t="s">
        <v>785</v>
      </c>
      <c r="C226" s="120">
        <v>5900000</v>
      </c>
      <c r="D226" s="120">
        <v>5900000</v>
      </c>
      <c r="E226" s="121">
        <v>3025107.33</v>
      </c>
      <c r="F226" s="130"/>
      <c r="G226" s="120">
        <f t="shared" si="81"/>
        <v>51.273005593220347</v>
      </c>
      <c r="H226" s="120">
        <f t="shared" si="83"/>
        <v>51.273005593220347</v>
      </c>
      <c r="I226" s="120">
        <f>E226/J226*100</f>
        <v>99.434812854527792</v>
      </c>
      <c r="J226" s="14">
        <v>3042302.03</v>
      </c>
    </row>
    <row r="227" spans="1:11" s="3" customFormat="1" ht="12.75" customHeight="1" x14ac:dyDescent="0.2">
      <c r="A227" s="123">
        <v>4213</v>
      </c>
      <c r="B227" s="123" t="s">
        <v>586</v>
      </c>
      <c r="C227" s="122">
        <f>SUM(C228:C231)</f>
        <v>1048657.06</v>
      </c>
      <c r="D227" s="122">
        <f>SUM(D228:D231)</f>
        <v>1048657.06</v>
      </c>
      <c r="E227" s="121">
        <v>836521</v>
      </c>
      <c r="F227" s="130">
        <f>SUM(E228:E231)</f>
        <v>836521</v>
      </c>
      <c r="G227" s="120">
        <f t="shared" si="81"/>
        <v>79.770692622810358</v>
      </c>
      <c r="H227" s="120">
        <f t="shared" si="83"/>
        <v>79.770692622810358</v>
      </c>
      <c r="I227" s="120">
        <v>0</v>
      </c>
      <c r="J227" s="14">
        <v>0</v>
      </c>
    </row>
    <row r="228" spans="1:11" s="2" customFormat="1" ht="12.75" customHeight="1" x14ac:dyDescent="0.2">
      <c r="A228" s="131"/>
      <c r="B228" s="307" t="s">
        <v>585</v>
      </c>
      <c r="C228" s="126">
        <v>250000</v>
      </c>
      <c r="D228" s="126">
        <v>250000</v>
      </c>
      <c r="E228" s="302">
        <v>237864</v>
      </c>
      <c r="F228" s="117"/>
      <c r="G228" s="126">
        <f t="shared" si="81"/>
        <v>95.145600000000002</v>
      </c>
      <c r="H228" s="126">
        <f>E228/D228*100</f>
        <v>95.145600000000002</v>
      </c>
      <c r="I228" s="126">
        <v>0</v>
      </c>
      <c r="J228" s="201">
        <v>0</v>
      </c>
    </row>
    <row r="229" spans="1:11" s="2" customFormat="1" ht="12.75" customHeight="1" x14ac:dyDescent="0.2">
      <c r="A229" s="131"/>
      <c r="B229" s="307" t="s">
        <v>948</v>
      </c>
      <c r="C229" s="126">
        <v>200000</v>
      </c>
      <c r="D229" s="126">
        <v>200000</v>
      </c>
      <c r="E229" s="297">
        <v>0</v>
      </c>
      <c r="F229" s="130"/>
      <c r="G229" s="126">
        <f t="shared" si="81"/>
        <v>0</v>
      </c>
      <c r="H229" s="126">
        <f>E229/D229*100</f>
        <v>0</v>
      </c>
      <c r="I229" s="126">
        <v>0</v>
      </c>
      <c r="J229" s="14">
        <v>0</v>
      </c>
    </row>
    <row r="230" spans="1:11" s="2" customFormat="1" ht="12.75" customHeight="1" x14ac:dyDescent="0.2">
      <c r="A230" s="131"/>
      <c r="B230" s="307" t="s">
        <v>583</v>
      </c>
      <c r="C230" s="126">
        <v>215516.54</v>
      </c>
      <c r="D230" s="126">
        <v>215516.54</v>
      </c>
      <c r="E230" s="297">
        <v>215517</v>
      </c>
      <c r="F230" s="130"/>
      <c r="G230" s="126">
        <f t="shared" si="81"/>
        <v>100.00021344069461</v>
      </c>
      <c r="H230" s="126">
        <f>E230/D230*100</f>
        <v>100.00021344069461</v>
      </c>
      <c r="I230" s="126">
        <v>0</v>
      </c>
      <c r="J230" s="14">
        <v>0</v>
      </c>
    </row>
    <row r="231" spans="1:11" s="2" customFormat="1" ht="12.75" customHeight="1" x14ac:dyDescent="0.2">
      <c r="A231" s="131"/>
      <c r="B231" s="307" t="s">
        <v>582</v>
      </c>
      <c r="C231" s="126">
        <v>383140.52</v>
      </c>
      <c r="D231" s="126">
        <v>383140.52</v>
      </c>
      <c r="E231" s="297">
        <v>383140</v>
      </c>
      <c r="F231" s="130"/>
      <c r="G231" s="126">
        <f t="shared" si="81"/>
        <v>99.999864279559887</v>
      </c>
      <c r="H231" s="126">
        <f t="shared" si="83"/>
        <v>99.999864279559887</v>
      </c>
      <c r="I231" s="126">
        <v>0</v>
      </c>
      <c r="J231" s="14">
        <v>0</v>
      </c>
    </row>
    <row r="232" spans="1:11" s="3" customFormat="1" ht="12.75" customHeight="1" x14ac:dyDescent="0.2">
      <c r="A232" s="184">
        <v>4216</v>
      </c>
      <c r="B232" s="349" t="s">
        <v>581</v>
      </c>
      <c r="C232" s="348">
        <f>SUM(C233:C241)</f>
        <v>11598412.65</v>
      </c>
      <c r="D232" s="348">
        <f>SUM(D233:D241)</f>
        <v>16223711.9</v>
      </c>
      <c r="E232" s="122">
        <v>4625293.29</v>
      </c>
      <c r="F232" s="127">
        <f>SUM(E233:E241)</f>
        <v>4625293.2899999991</v>
      </c>
      <c r="G232" s="120">
        <f t="shared" si="81"/>
        <v>39.878675035760175</v>
      </c>
      <c r="H232" s="120">
        <f>E232/D232*100</f>
        <v>28.509463916207732</v>
      </c>
      <c r="I232" s="120">
        <f>E232/J232*100</f>
        <v>70.300401286787533</v>
      </c>
      <c r="J232" s="14">
        <v>6579327.0099999998</v>
      </c>
      <c r="K232" s="341"/>
    </row>
    <row r="233" spans="1:11" s="3" customFormat="1" ht="12.75" customHeight="1" x14ac:dyDescent="0.2">
      <c r="A233" s="343"/>
      <c r="B233" s="347" t="s">
        <v>949</v>
      </c>
      <c r="C233" s="126">
        <v>5992790.4299999997</v>
      </c>
      <c r="D233" s="126">
        <v>5992790.4299999997</v>
      </c>
      <c r="E233" s="127">
        <v>0</v>
      </c>
      <c r="F233" s="127"/>
      <c r="G233" s="126">
        <f>E233/C233*100</f>
        <v>0</v>
      </c>
      <c r="H233" s="126">
        <f>E233/D233*100</f>
        <v>0</v>
      </c>
      <c r="I233" s="126">
        <v>0</v>
      </c>
      <c r="J233" s="14">
        <v>0</v>
      </c>
      <c r="K233" s="341"/>
    </row>
    <row r="234" spans="1:11" s="3" customFormat="1" ht="12.75" customHeight="1" x14ac:dyDescent="0.2">
      <c r="A234" s="343"/>
      <c r="B234" s="347" t="s">
        <v>950</v>
      </c>
      <c r="C234" s="126">
        <v>3605622.22</v>
      </c>
      <c r="D234" s="126">
        <v>3605622.22</v>
      </c>
      <c r="E234" s="302">
        <v>0</v>
      </c>
      <c r="F234" s="117"/>
      <c r="G234" s="126">
        <f>E234/C234*100</f>
        <v>0</v>
      </c>
      <c r="H234" s="126">
        <f>E234/D234*100</f>
        <v>0</v>
      </c>
      <c r="I234" s="126">
        <v>0</v>
      </c>
      <c r="J234" s="201">
        <v>0</v>
      </c>
      <c r="K234" s="341"/>
    </row>
    <row r="235" spans="1:11" s="3" customFormat="1" ht="12.75" customHeight="1" x14ac:dyDescent="0.2">
      <c r="A235" s="343"/>
      <c r="B235" s="342" t="s">
        <v>904</v>
      </c>
      <c r="C235" s="126">
        <v>0</v>
      </c>
      <c r="D235" s="126">
        <f>(59625+506812.5)</f>
        <v>566437.5</v>
      </c>
      <c r="E235" s="104">
        <v>566437.5</v>
      </c>
      <c r="F235" s="206"/>
      <c r="G235" s="126">
        <v>0</v>
      </c>
      <c r="H235" s="126">
        <f>E235/D235*100</f>
        <v>100</v>
      </c>
      <c r="I235" s="126">
        <v>0</v>
      </c>
      <c r="J235" s="14">
        <v>0</v>
      </c>
      <c r="K235" s="341"/>
    </row>
    <row r="236" spans="1:11" s="3" customFormat="1" ht="12.75" customHeight="1" x14ac:dyDescent="0.2">
      <c r="A236" s="343"/>
      <c r="B236" s="185" t="s">
        <v>872</v>
      </c>
      <c r="C236" s="126">
        <v>0</v>
      </c>
      <c r="D236" s="126">
        <v>51518.6</v>
      </c>
      <c r="E236" s="206">
        <v>51518.6</v>
      </c>
      <c r="F236" s="206"/>
      <c r="G236" s="126">
        <v>0</v>
      </c>
      <c r="H236" s="126">
        <f t="shared" ref="H236:H241" si="98">E236/D236*100</f>
        <v>100</v>
      </c>
      <c r="I236" s="126">
        <v>0</v>
      </c>
      <c r="J236" s="14">
        <v>0</v>
      </c>
      <c r="K236" s="341"/>
    </row>
    <row r="237" spans="1:11" s="3" customFormat="1" ht="12.75" customHeight="1" x14ac:dyDescent="0.2">
      <c r="A237" s="343"/>
      <c r="B237" s="185" t="s">
        <v>873</v>
      </c>
      <c r="C237" s="126">
        <v>0</v>
      </c>
      <c r="D237" s="126">
        <v>875816.2</v>
      </c>
      <c r="E237" s="206">
        <v>875816.2</v>
      </c>
      <c r="F237" s="206"/>
      <c r="G237" s="126">
        <v>0</v>
      </c>
      <c r="H237" s="126">
        <f t="shared" si="98"/>
        <v>100</v>
      </c>
      <c r="I237" s="126">
        <v>0</v>
      </c>
      <c r="J237" s="14">
        <v>0</v>
      </c>
      <c r="K237" s="341"/>
    </row>
    <row r="238" spans="1:11" ht="12.75" customHeight="1" x14ac:dyDescent="0.2">
      <c r="A238" s="185"/>
      <c r="B238" s="185" t="s">
        <v>885</v>
      </c>
      <c r="C238" s="126">
        <v>0</v>
      </c>
      <c r="D238" s="126">
        <v>43084.73</v>
      </c>
      <c r="E238" s="206">
        <v>43084.73</v>
      </c>
      <c r="F238" s="206"/>
      <c r="G238" s="126">
        <v>0</v>
      </c>
      <c r="H238" s="126">
        <f t="shared" si="98"/>
        <v>100</v>
      </c>
      <c r="I238" s="126">
        <v>0</v>
      </c>
      <c r="J238" s="14">
        <v>0</v>
      </c>
      <c r="K238" s="341"/>
    </row>
    <row r="239" spans="1:11" ht="12.75" customHeight="1" x14ac:dyDescent="0.2">
      <c r="A239" s="185"/>
      <c r="B239" s="185" t="s">
        <v>886</v>
      </c>
      <c r="C239" s="126">
        <v>0</v>
      </c>
      <c r="D239" s="126">
        <v>861694.74</v>
      </c>
      <c r="E239" s="206">
        <v>861694.74</v>
      </c>
      <c r="F239" s="206"/>
      <c r="G239" s="126">
        <v>0</v>
      </c>
      <c r="H239" s="126">
        <f t="shared" si="98"/>
        <v>100</v>
      </c>
      <c r="I239" s="126">
        <v>0</v>
      </c>
      <c r="J239" s="14">
        <v>0</v>
      </c>
      <c r="K239" s="341"/>
    </row>
    <row r="240" spans="1:11" s="3" customFormat="1" ht="12" customHeight="1" x14ac:dyDescent="0.2">
      <c r="A240" s="180"/>
      <c r="B240" s="237" t="s">
        <v>892</v>
      </c>
      <c r="C240" s="130">
        <v>0</v>
      </c>
      <c r="D240" s="130">
        <f>2226747.48</f>
        <v>2226747.48</v>
      </c>
      <c r="E240" s="130">
        <v>2226741.52</v>
      </c>
      <c r="F240" s="130"/>
      <c r="G240" s="126">
        <v>0</v>
      </c>
      <c r="H240" s="126">
        <f>E240/D240*100</f>
        <v>99.999732345043455</v>
      </c>
      <c r="I240" s="126">
        <v>0</v>
      </c>
      <c r="J240" s="6">
        <v>0</v>
      </c>
    </row>
    <row r="241" spans="1:11" s="3" customFormat="1" ht="12.75" customHeight="1" x14ac:dyDescent="0.2">
      <c r="A241" s="346"/>
      <c r="B241" s="154" t="s">
        <v>578</v>
      </c>
      <c r="C241" s="196">
        <v>2000000</v>
      </c>
      <c r="D241" s="196">
        <v>2000000</v>
      </c>
      <c r="E241" s="483">
        <v>0</v>
      </c>
      <c r="F241" s="483"/>
      <c r="G241" s="126">
        <f t="shared" si="81"/>
        <v>0</v>
      </c>
      <c r="H241" s="126">
        <f t="shared" si="98"/>
        <v>0</v>
      </c>
      <c r="I241" s="126">
        <v>0</v>
      </c>
      <c r="J241" s="14">
        <v>0</v>
      </c>
    </row>
    <row r="242" spans="1:11" s="3" customFormat="1" ht="12.75" customHeight="1" x14ac:dyDescent="0.2">
      <c r="A242" s="123">
        <v>4222</v>
      </c>
      <c r="B242" s="345" t="s">
        <v>577</v>
      </c>
      <c r="C242" s="344">
        <f>SUM(C243:C245)</f>
        <v>9260000</v>
      </c>
      <c r="D242" s="344">
        <f>SUM(D243:D245)</f>
        <v>8936854.4199999999</v>
      </c>
      <c r="E242" s="121">
        <v>3436854.42</v>
      </c>
      <c r="F242" s="130">
        <f>SUM(E243:E245)</f>
        <v>3436854.42</v>
      </c>
      <c r="G242" s="120">
        <f t="shared" si="81"/>
        <v>37.115058531317494</v>
      </c>
      <c r="H242" s="120">
        <f>E242/D242*100</f>
        <v>38.457093049525135</v>
      </c>
      <c r="I242" s="120">
        <f t="shared" ref="I242" si="99">E242/J242*100</f>
        <v>6024.2846976336541</v>
      </c>
      <c r="J242" s="14">
        <v>57050</v>
      </c>
    </row>
    <row r="243" spans="1:11" s="2" customFormat="1" ht="12.75" customHeight="1" x14ac:dyDescent="0.2">
      <c r="A243" s="340"/>
      <c r="B243" s="339" t="s">
        <v>576</v>
      </c>
      <c r="C243" s="126">
        <v>3700000</v>
      </c>
      <c r="D243" s="126">
        <f>3700000+(3436854.42-3700000)</f>
        <v>3436854.42</v>
      </c>
      <c r="E243" s="297">
        <v>3436854.42</v>
      </c>
      <c r="F243" s="130"/>
      <c r="G243" s="126">
        <f t="shared" si="81"/>
        <v>92.887957297297291</v>
      </c>
      <c r="H243" s="126">
        <f>E243/D243*100</f>
        <v>100</v>
      </c>
      <c r="I243" s="126">
        <v>0</v>
      </c>
      <c r="J243" s="14">
        <v>0</v>
      </c>
    </row>
    <row r="244" spans="1:11" s="3" customFormat="1" ht="12.75" customHeight="1" x14ac:dyDescent="0.2">
      <c r="A244" s="343"/>
      <c r="B244" s="342" t="s">
        <v>574</v>
      </c>
      <c r="C244" s="126">
        <v>5500000</v>
      </c>
      <c r="D244" s="126">
        <v>5500000</v>
      </c>
      <c r="E244" s="297">
        <v>0</v>
      </c>
      <c r="F244" s="130"/>
      <c r="G244" s="126">
        <f t="shared" si="81"/>
        <v>0</v>
      </c>
      <c r="H244" s="126">
        <f t="shared" ref="H244" si="100">E244/D244*100</f>
        <v>0</v>
      </c>
      <c r="I244" s="126">
        <v>0</v>
      </c>
      <c r="J244" s="14">
        <v>0</v>
      </c>
      <c r="K244" s="341"/>
    </row>
    <row r="245" spans="1:11" s="2" customFormat="1" ht="12.75" customHeight="1" x14ac:dyDescent="0.2">
      <c r="A245" s="340"/>
      <c r="B245" s="339" t="s">
        <v>573</v>
      </c>
      <c r="C245" s="126">
        <v>60000</v>
      </c>
      <c r="D245" s="126">
        <f>60000-60000</f>
        <v>0</v>
      </c>
      <c r="E245" s="297">
        <v>0</v>
      </c>
      <c r="F245" s="130"/>
      <c r="G245" s="126">
        <f t="shared" si="81"/>
        <v>0</v>
      </c>
      <c r="H245" s="126">
        <v>0</v>
      </c>
      <c r="I245" s="126">
        <v>0</v>
      </c>
      <c r="J245" s="14">
        <v>0</v>
      </c>
    </row>
    <row r="246" spans="1:11" s="3" customFormat="1" ht="12.75" customHeight="1" thickBot="1" x14ac:dyDescent="0.25">
      <c r="A246" s="338"/>
      <c r="B246" s="337"/>
      <c r="C246" s="336"/>
      <c r="D246" s="336"/>
      <c r="E246" s="302"/>
      <c r="F246" s="117"/>
      <c r="G246" s="151"/>
      <c r="H246" s="151"/>
      <c r="I246" s="151"/>
      <c r="J246" s="14"/>
    </row>
    <row r="247" spans="1:11" s="587" customFormat="1" ht="24" thickBot="1" x14ac:dyDescent="0.4">
      <c r="A247" s="584"/>
      <c r="B247" s="324" t="s">
        <v>572</v>
      </c>
      <c r="C247" s="585">
        <f>SUM(C53+C88+C174+C190)</f>
        <v>706565336.28349996</v>
      </c>
      <c r="D247" s="585">
        <f>SUM(D53+D88+D174+D190)</f>
        <v>722767379.95349991</v>
      </c>
      <c r="E247" s="571">
        <v>370788454.89999998</v>
      </c>
      <c r="F247" s="317">
        <f>SUM(E53,E88,E174,E190)</f>
        <v>370788454.90000004</v>
      </c>
      <c r="G247" s="586">
        <f>E247/C247*100</f>
        <v>52.477589241828596</v>
      </c>
      <c r="H247" s="586">
        <f>E247/D247*100</f>
        <v>51.301216018334294</v>
      </c>
      <c r="I247" s="586">
        <f>E247/J247*100</f>
        <v>115.45609772369086</v>
      </c>
      <c r="J247" s="574">
        <v>321151036.81</v>
      </c>
    </row>
    <row r="248" spans="1:11" s="3" customFormat="1" ht="12.75" customHeight="1" thickBot="1" x14ac:dyDescent="0.3">
      <c r="A248" s="232"/>
      <c r="B248" s="334"/>
      <c r="C248" s="317"/>
      <c r="D248" s="317"/>
      <c r="E248" s="511"/>
      <c r="F248" s="317"/>
      <c r="G248" s="317"/>
      <c r="H248" s="317"/>
      <c r="I248" s="317"/>
      <c r="J248" s="14"/>
    </row>
    <row r="249" spans="1:11" s="572" customFormat="1" ht="21" thickBot="1" x14ac:dyDescent="0.35">
      <c r="A249" s="335"/>
      <c r="B249" s="139" t="s">
        <v>571</v>
      </c>
      <c r="C249" s="323">
        <f>SUM(C250:C253)</f>
        <v>195741180.47</v>
      </c>
      <c r="D249" s="323">
        <f>SUM(D250:D253)</f>
        <v>188545980.47</v>
      </c>
      <c r="E249" s="571">
        <v>-95621496.340000004</v>
      </c>
      <c r="F249" s="511">
        <f>SUM(E250:E253)</f>
        <v>-95621496.340000004</v>
      </c>
      <c r="G249" s="571">
        <f>E249/C249*100</f>
        <v>-48.850985832618548</v>
      </c>
      <c r="H249" s="571">
        <f>E249/D249*100</f>
        <v>-50.715213393379429</v>
      </c>
      <c r="I249" s="571">
        <f>E249/J249*100</f>
        <v>269.03334553280962</v>
      </c>
      <c r="J249" s="574">
        <v>-35542618.759999998</v>
      </c>
    </row>
    <row r="250" spans="1:11" ht="24.75" x14ac:dyDescent="0.2">
      <c r="A250" s="248">
        <v>8115</v>
      </c>
      <c r="B250" s="333" t="s">
        <v>570</v>
      </c>
      <c r="C250" s="120">
        <v>46346393.390000001</v>
      </c>
      <c r="D250" s="120">
        <f>46346393.39-7195200</f>
        <v>39151193.390000001</v>
      </c>
      <c r="E250" s="120">
        <v>-95344578.420000002</v>
      </c>
      <c r="F250" s="126"/>
      <c r="G250" s="120">
        <f t="shared" ref="G250:G254" si="101">E250/C250*100</f>
        <v>-205.72167852994613</v>
      </c>
      <c r="H250" s="120">
        <v>0</v>
      </c>
      <c r="I250" s="120">
        <f>E250/J250*100</f>
        <v>114.34725886138078</v>
      </c>
      <c r="J250" s="6">
        <v>-83381603.870000005</v>
      </c>
    </row>
    <row r="251" spans="1:11" ht="24.75" x14ac:dyDescent="0.2">
      <c r="A251" s="30">
        <v>8123</v>
      </c>
      <c r="B251" s="332" t="s">
        <v>568</v>
      </c>
      <c r="C251" s="120">
        <v>100000000</v>
      </c>
      <c r="D251" s="120">
        <v>100000000</v>
      </c>
      <c r="E251" s="121">
        <v>0</v>
      </c>
      <c r="F251" s="130"/>
      <c r="G251" s="120">
        <f t="shared" si="101"/>
        <v>0</v>
      </c>
      <c r="H251" s="120">
        <f t="shared" ref="H251:H254" si="102">E251/D251*100</f>
        <v>0</v>
      </c>
      <c r="I251" s="120">
        <v>0</v>
      </c>
      <c r="J251" s="6">
        <v>0</v>
      </c>
    </row>
    <row r="252" spans="1:11" ht="12.75" customHeight="1" x14ac:dyDescent="0.2">
      <c r="A252" s="30">
        <v>8125</v>
      </c>
      <c r="B252" s="332" t="s">
        <v>567</v>
      </c>
      <c r="C252" s="120">
        <v>50000000</v>
      </c>
      <c r="D252" s="120">
        <v>50000000</v>
      </c>
      <c r="E252" s="122">
        <v>0</v>
      </c>
      <c r="F252" s="127"/>
      <c r="G252" s="120">
        <f t="shared" si="101"/>
        <v>0</v>
      </c>
      <c r="H252" s="121">
        <f t="shared" si="102"/>
        <v>0</v>
      </c>
      <c r="I252" s="120">
        <v>0</v>
      </c>
      <c r="J252" s="6">
        <v>0</v>
      </c>
    </row>
    <row r="253" spans="1:11" s="330" customFormat="1" ht="12.75" customHeight="1" x14ac:dyDescent="0.4">
      <c r="A253" s="239">
        <v>8901</v>
      </c>
      <c r="B253" s="331" t="s">
        <v>566</v>
      </c>
      <c r="C253" s="122">
        <f>SUM(C254:C256)</f>
        <v>-605212.92000000004</v>
      </c>
      <c r="D253" s="122">
        <f>SUM(D254:D256)</f>
        <v>-605212.92000000004</v>
      </c>
      <c r="E253" s="122">
        <v>-276917.92</v>
      </c>
      <c r="F253" s="127">
        <f>SUM(E254:E256)</f>
        <v>-276917.91999999993</v>
      </c>
      <c r="G253" s="120">
        <f t="shared" si="101"/>
        <v>45.755454130093582</v>
      </c>
      <c r="H253" s="121">
        <f t="shared" si="102"/>
        <v>45.755454130093582</v>
      </c>
      <c r="I253" s="120">
        <v>0</v>
      </c>
      <c r="J253" s="6">
        <v>-2161014.89</v>
      </c>
    </row>
    <row r="254" spans="1:11" s="328" customFormat="1" ht="12.75" customHeight="1" x14ac:dyDescent="0.35">
      <c r="A254" s="307"/>
      <c r="B254" s="329" t="s">
        <v>565</v>
      </c>
      <c r="C254" s="127">
        <v>-605212.92000000004</v>
      </c>
      <c r="D254" s="127">
        <v>-605212.92000000004</v>
      </c>
      <c r="E254" s="127">
        <v>-302606.46000000002</v>
      </c>
      <c r="F254" s="127"/>
      <c r="G254" s="126">
        <f t="shared" si="101"/>
        <v>50</v>
      </c>
      <c r="H254" s="130">
        <f t="shared" si="102"/>
        <v>50</v>
      </c>
      <c r="I254" s="126">
        <v>0</v>
      </c>
      <c r="J254" s="6">
        <v>-302606.46000000002</v>
      </c>
    </row>
    <row r="255" spans="1:11" ht="12.75" customHeight="1" x14ac:dyDescent="0.2">
      <c r="A255" s="237"/>
      <c r="B255" s="237" t="s">
        <v>564</v>
      </c>
      <c r="C255" s="126">
        <v>0</v>
      </c>
      <c r="D255" s="126">
        <v>0</v>
      </c>
      <c r="E255" s="130">
        <v>-934311.46</v>
      </c>
      <c r="F255" s="130"/>
      <c r="G255" s="126">
        <v>0</v>
      </c>
      <c r="H255" s="130">
        <v>0</v>
      </c>
      <c r="I255" s="126">
        <v>0</v>
      </c>
      <c r="J255" s="6">
        <v>-1858408.43</v>
      </c>
    </row>
    <row r="256" spans="1:11" ht="12.75" customHeight="1" x14ac:dyDescent="0.2">
      <c r="A256" s="237"/>
      <c r="B256" s="237" t="s">
        <v>966</v>
      </c>
      <c r="C256" s="126">
        <v>0</v>
      </c>
      <c r="D256" s="126">
        <v>0</v>
      </c>
      <c r="E256" s="130">
        <v>960000</v>
      </c>
      <c r="F256" s="130"/>
      <c r="G256" s="126">
        <v>0</v>
      </c>
      <c r="H256" s="130">
        <v>0</v>
      </c>
      <c r="I256" s="126">
        <v>0</v>
      </c>
      <c r="J256" s="6">
        <v>0</v>
      </c>
    </row>
    <row r="257" spans="1:13" ht="12.75" customHeight="1" thickBot="1" x14ac:dyDescent="0.25">
      <c r="A257" s="327"/>
      <c r="B257" s="327"/>
      <c r="C257" s="326"/>
      <c r="D257" s="326"/>
      <c r="E257" s="486"/>
      <c r="F257" s="151"/>
      <c r="G257" s="486"/>
      <c r="H257" s="486"/>
      <c r="I257" s="486"/>
      <c r="J257" s="6"/>
    </row>
    <row r="258" spans="1:13" s="322" customFormat="1" ht="24" customHeight="1" thickBot="1" x14ac:dyDescent="0.45">
      <c r="A258" s="325"/>
      <c r="B258" s="324" t="s">
        <v>563</v>
      </c>
      <c r="C258" s="588">
        <f>SUM(C247+C249)</f>
        <v>902306516.75349998</v>
      </c>
      <c r="D258" s="588">
        <f>SUM(D247+D249)</f>
        <v>911313360.42349994</v>
      </c>
      <c r="E258" s="571">
        <v>275166958.56</v>
      </c>
      <c r="F258" s="511">
        <f>SUM(E247,E249)</f>
        <v>275166958.55999994</v>
      </c>
      <c r="G258" s="586">
        <f>E258/C258*100</f>
        <v>30.495951591932535</v>
      </c>
      <c r="H258" s="586">
        <f>E258/D258*100</f>
        <v>30.194548934531817</v>
      </c>
      <c r="I258" s="586">
        <f>E258/J258*100</f>
        <v>96.344134545721943</v>
      </c>
      <c r="J258" s="6">
        <v>285608418.05000001</v>
      </c>
      <c r="L258" s="756"/>
      <c r="M258" s="756"/>
    </row>
    <row r="259" spans="1:13" s="17" customFormat="1" ht="27" thickBot="1" x14ac:dyDescent="0.45">
      <c r="A259" s="321"/>
      <c r="B259" s="320"/>
      <c r="C259" s="319"/>
      <c r="D259" s="319"/>
      <c r="E259" s="389"/>
      <c r="F259" s="317"/>
      <c r="G259" s="389"/>
      <c r="H259" s="389"/>
      <c r="I259" s="389"/>
      <c r="J259" s="6"/>
    </row>
    <row r="260" spans="1:13" s="3" customFormat="1" ht="21" thickBot="1" x14ac:dyDescent="0.35">
      <c r="A260" s="318"/>
      <c r="B260" s="139" t="s">
        <v>562</v>
      </c>
      <c r="C260" s="317"/>
      <c r="D260" s="317"/>
      <c r="E260" s="317"/>
      <c r="F260" s="317"/>
      <c r="G260" s="317"/>
      <c r="H260" s="317"/>
      <c r="I260" s="317"/>
      <c r="J260" s="6"/>
    </row>
    <row r="261" spans="1:13" ht="21" thickBot="1" x14ac:dyDescent="0.35">
      <c r="A261" s="316"/>
      <c r="B261" s="139" t="s">
        <v>561</v>
      </c>
      <c r="C261" s="457">
        <f>C262+C275+C291+C297</f>
        <v>47057788.329999998</v>
      </c>
      <c r="D261" s="457">
        <f>D262+D275+D291+D297</f>
        <v>48392506.829999998</v>
      </c>
      <c r="E261" s="575">
        <v>19186396.960000001</v>
      </c>
      <c r="F261" s="705">
        <f>SUM(E262,E275,E291,E297)</f>
        <v>19186396.960000001</v>
      </c>
      <c r="G261" s="571">
        <f>E261/C261*100</f>
        <v>40.771990441736087</v>
      </c>
      <c r="H261" s="571">
        <f>E261/D261*100</f>
        <v>39.647454155249022</v>
      </c>
      <c r="I261" s="571">
        <f>E261/J261*100</f>
        <v>114.79119315680879</v>
      </c>
      <c r="J261" s="6">
        <v>16714171.560000001</v>
      </c>
    </row>
    <row r="262" spans="1:13" ht="16.5" thickBot="1" x14ac:dyDescent="0.25">
      <c r="A262" s="226"/>
      <c r="B262" s="226" t="s">
        <v>560</v>
      </c>
      <c r="C262" s="314">
        <f>SUM(C263+C267+C272)</f>
        <v>1985000</v>
      </c>
      <c r="D262" s="314">
        <f>SUM(D263+D267+D272)</f>
        <v>1985000</v>
      </c>
      <c r="E262" s="312">
        <v>457567.67</v>
      </c>
      <c r="F262" s="705">
        <f>SUM(E263,E267,E272)</f>
        <v>457567.67</v>
      </c>
      <c r="G262" s="479">
        <f>E262/D262*100</f>
        <v>23.051268010075564</v>
      </c>
      <c r="H262" s="479">
        <f>E262/D262*100</f>
        <v>23.051268010075564</v>
      </c>
      <c r="I262" s="583">
        <f>E262/J262*100</f>
        <v>205.56521332065051</v>
      </c>
      <c r="J262" s="6">
        <v>222590.03</v>
      </c>
    </row>
    <row r="263" spans="1:13" x14ac:dyDescent="0.2">
      <c r="A263" s="224">
        <v>2310</v>
      </c>
      <c r="B263" s="224" t="s">
        <v>559</v>
      </c>
      <c r="C263" s="217">
        <f>SUM(C264:C266)</f>
        <v>265000</v>
      </c>
      <c r="D263" s="217">
        <f>SUM(D264:D266)</f>
        <v>265000</v>
      </c>
      <c r="E263" s="313">
        <v>0</v>
      </c>
      <c r="F263" s="514"/>
      <c r="G263" s="120">
        <f>E263/C263*100</f>
        <v>0</v>
      </c>
      <c r="H263" s="120">
        <f t="shared" ref="H263:H270" si="103">E263/D263*100</f>
        <v>0</v>
      </c>
      <c r="I263" s="120">
        <v>0</v>
      </c>
      <c r="J263" s="6">
        <v>0</v>
      </c>
    </row>
    <row r="264" spans="1:13" x14ac:dyDescent="0.2">
      <c r="A264" s="293" t="s">
        <v>558</v>
      </c>
      <c r="B264" s="155" t="s">
        <v>557</v>
      </c>
      <c r="C264" s="126">
        <v>15000</v>
      </c>
      <c r="D264" s="126">
        <v>15000</v>
      </c>
      <c r="E264" s="127">
        <v>0</v>
      </c>
      <c r="F264" s="127"/>
      <c r="G264" s="126">
        <f t="shared" ref="G264:G274" si="104">E264/C264*100</f>
        <v>0</v>
      </c>
      <c r="H264" s="126">
        <f t="shared" si="103"/>
        <v>0</v>
      </c>
      <c r="I264" s="126">
        <v>0</v>
      </c>
      <c r="J264" s="6">
        <v>0</v>
      </c>
    </row>
    <row r="265" spans="1:13" x14ac:dyDescent="0.2">
      <c r="A265" s="293" t="s">
        <v>556</v>
      </c>
      <c r="B265" s="155" t="s">
        <v>555</v>
      </c>
      <c r="C265" s="126">
        <v>150000</v>
      </c>
      <c r="D265" s="126">
        <v>150000</v>
      </c>
      <c r="E265" s="127">
        <v>0</v>
      </c>
      <c r="F265" s="127"/>
      <c r="G265" s="126">
        <f t="shared" si="104"/>
        <v>0</v>
      </c>
      <c r="H265" s="126">
        <f t="shared" si="103"/>
        <v>0</v>
      </c>
      <c r="I265" s="126">
        <v>0</v>
      </c>
      <c r="J265" s="6">
        <v>0</v>
      </c>
    </row>
    <row r="266" spans="1:13" x14ac:dyDescent="0.2">
      <c r="A266" s="293" t="s">
        <v>554</v>
      </c>
      <c r="B266" s="155" t="s">
        <v>553</v>
      </c>
      <c r="C266" s="126">
        <v>100000</v>
      </c>
      <c r="D266" s="126">
        <v>100000</v>
      </c>
      <c r="E266" s="127">
        <v>0</v>
      </c>
      <c r="F266" s="127"/>
      <c r="G266" s="126">
        <f t="shared" si="104"/>
        <v>0</v>
      </c>
      <c r="H266" s="126">
        <f t="shared" si="103"/>
        <v>0</v>
      </c>
      <c r="I266" s="126">
        <v>0</v>
      </c>
      <c r="J266" s="6">
        <v>0</v>
      </c>
    </row>
    <row r="267" spans="1:13" x14ac:dyDescent="0.2">
      <c r="A267" s="123">
        <v>2321</v>
      </c>
      <c r="B267" s="123" t="s">
        <v>552</v>
      </c>
      <c r="C267" s="122">
        <f>SUM(C268:C271)</f>
        <v>1470000</v>
      </c>
      <c r="D267" s="122">
        <f>SUM(D268:D271)</f>
        <v>1470000</v>
      </c>
      <c r="E267" s="122">
        <v>457567.67</v>
      </c>
      <c r="F267" s="127">
        <f>SUM(E268:E271)</f>
        <v>457567.67</v>
      </c>
      <c r="G267" s="120">
        <f t="shared" si="104"/>
        <v>31.127052380952382</v>
      </c>
      <c r="H267" s="120">
        <f t="shared" si="103"/>
        <v>31.127052380952382</v>
      </c>
      <c r="I267" s="120">
        <f t="shared" ref="I267:I270" si="105">E267/J267*100</f>
        <v>205.56521332065051</v>
      </c>
      <c r="J267" s="6">
        <v>222590.03</v>
      </c>
    </row>
    <row r="268" spans="1:13" x14ac:dyDescent="0.2">
      <c r="A268" s="293" t="s">
        <v>551</v>
      </c>
      <c r="B268" s="155" t="s">
        <v>550</v>
      </c>
      <c r="C268" s="126">
        <v>170000</v>
      </c>
      <c r="D268" s="126">
        <v>170000</v>
      </c>
      <c r="E268" s="133">
        <v>92451.520000000004</v>
      </c>
      <c r="F268" s="133"/>
      <c r="G268" s="126">
        <f t="shared" si="104"/>
        <v>54.383247058823535</v>
      </c>
      <c r="H268" s="126">
        <f t="shared" si="103"/>
        <v>54.383247058823535</v>
      </c>
      <c r="I268" s="126">
        <f t="shared" si="105"/>
        <v>202.56984491227192</v>
      </c>
      <c r="J268" s="6">
        <v>45639.33</v>
      </c>
    </row>
    <row r="269" spans="1:13" x14ac:dyDescent="0.2">
      <c r="A269" s="293" t="s">
        <v>549</v>
      </c>
      <c r="B269" s="155" t="s">
        <v>548</v>
      </c>
      <c r="C269" s="126">
        <v>500000</v>
      </c>
      <c r="D269" s="126">
        <v>500000</v>
      </c>
      <c r="E269" s="130">
        <v>107213.4</v>
      </c>
      <c r="F269" s="130"/>
      <c r="G269" s="126">
        <f t="shared" si="104"/>
        <v>21.442679999999999</v>
      </c>
      <c r="H269" s="126">
        <f t="shared" si="103"/>
        <v>21.442679999999999</v>
      </c>
      <c r="I269" s="126">
        <f t="shared" si="105"/>
        <v>111.46964547309935</v>
      </c>
      <c r="J269" s="6">
        <v>96181.7</v>
      </c>
    </row>
    <row r="270" spans="1:13" x14ac:dyDescent="0.2">
      <c r="A270" s="293" t="s">
        <v>547</v>
      </c>
      <c r="B270" s="155" t="s">
        <v>541</v>
      </c>
      <c r="C270" s="126">
        <v>500000</v>
      </c>
      <c r="D270" s="126">
        <v>500000</v>
      </c>
      <c r="E270" s="130">
        <v>257902.75</v>
      </c>
      <c r="F270" s="130"/>
      <c r="G270" s="126">
        <f t="shared" si="104"/>
        <v>51.580550000000002</v>
      </c>
      <c r="H270" s="126">
        <f t="shared" si="103"/>
        <v>51.580550000000002</v>
      </c>
      <c r="I270" s="126">
        <f t="shared" si="105"/>
        <v>319.30907897832088</v>
      </c>
      <c r="J270" s="6">
        <v>80769</v>
      </c>
    </row>
    <row r="271" spans="1:13" s="2" customFormat="1" ht="24.75" x14ac:dyDescent="0.2">
      <c r="A271" s="293" t="s">
        <v>547</v>
      </c>
      <c r="B271" s="166" t="s">
        <v>546</v>
      </c>
      <c r="C271" s="126">
        <v>300000</v>
      </c>
      <c r="D271" s="126">
        <v>300000</v>
      </c>
      <c r="E271" s="126">
        <v>0</v>
      </c>
      <c r="F271" s="126"/>
      <c r="G271" s="126">
        <f t="shared" si="104"/>
        <v>0</v>
      </c>
      <c r="H271" s="126">
        <f t="shared" ref="H271:H276" si="106">E271/D271*100</f>
        <v>0</v>
      </c>
      <c r="I271" s="126">
        <v>0</v>
      </c>
      <c r="J271" s="6">
        <v>0</v>
      </c>
    </row>
    <row r="272" spans="1:13" x14ac:dyDescent="0.2">
      <c r="A272" s="123">
        <v>2333</v>
      </c>
      <c r="B272" s="123" t="s">
        <v>545</v>
      </c>
      <c r="C272" s="122">
        <f>SUM(C273:C274)</f>
        <v>250000</v>
      </c>
      <c r="D272" s="122">
        <f>SUM(D273:D274)</f>
        <v>250000</v>
      </c>
      <c r="E272" s="136">
        <v>0</v>
      </c>
      <c r="F272" s="133">
        <f>SUM(E273:E274)</f>
        <v>0</v>
      </c>
      <c r="G272" s="120">
        <f t="shared" si="104"/>
        <v>0</v>
      </c>
      <c r="H272" s="120">
        <f t="shared" si="106"/>
        <v>0</v>
      </c>
      <c r="I272" s="120">
        <v>0</v>
      </c>
      <c r="J272" s="6">
        <v>0</v>
      </c>
    </row>
    <row r="273" spans="1:10" x14ac:dyDescent="0.2">
      <c r="A273" s="293" t="s">
        <v>544</v>
      </c>
      <c r="B273" s="155" t="s">
        <v>543</v>
      </c>
      <c r="C273" s="126">
        <v>100000</v>
      </c>
      <c r="D273" s="126">
        <v>100000</v>
      </c>
      <c r="E273" s="130">
        <v>0</v>
      </c>
      <c r="F273" s="130"/>
      <c r="G273" s="126">
        <f t="shared" si="104"/>
        <v>0</v>
      </c>
      <c r="H273" s="126">
        <f t="shared" si="106"/>
        <v>0</v>
      </c>
      <c r="I273" s="126">
        <v>0</v>
      </c>
      <c r="J273" s="14">
        <v>0</v>
      </c>
    </row>
    <row r="274" spans="1:10" ht="13.5" thickBot="1" x14ac:dyDescent="0.25">
      <c r="A274" s="293" t="s">
        <v>542</v>
      </c>
      <c r="B274" s="155" t="s">
        <v>541</v>
      </c>
      <c r="C274" s="126">
        <v>150000</v>
      </c>
      <c r="D274" s="126">
        <v>150000</v>
      </c>
      <c r="E274" s="152">
        <v>0</v>
      </c>
      <c r="F274" s="152"/>
      <c r="G274" s="126">
        <f t="shared" si="104"/>
        <v>0</v>
      </c>
      <c r="H274" s="151">
        <f t="shared" si="106"/>
        <v>0</v>
      </c>
      <c r="I274" s="151">
        <v>0</v>
      </c>
      <c r="J274" s="14">
        <v>0</v>
      </c>
    </row>
    <row r="275" spans="1:10" s="3" customFormat="1" ht="16.5" thickBot="1" x14ac:dyDescent="0.3">
      <c r="A275" s="158"/>
      <c r="B275" s="158" t="s">
        <v>540</v>
      </c>
      <c r="C275" s="312">
        <f>SUM(C276+C284+C288)</f>
        <v>27050000</v>
      </c>
      <c r="D275" s="312">
        <f>SUM(D276+D284+D288)</f>
        <v>28337618.5</v>
      </c>
      <c r="E275" s="312">
        <v>12393432.960000001</v>
      </c>
      <c r="F275" s="705">
        <f>SUM(E276,E284,E288)</f>
        <v>12393432.960000001</v>
      </c>
      <c r="G275" s="479">
        <f>E275/C275*100</f>
        <v>45.816757707948248</v>
      </c>
      <c r="H275" s="479">
        <f t="shared" si="106"/>
        <v>43.734913574335827</v>
      </c>
      <c r="I275" s="479">
        <f>E275/J275*100</f>
        <v>119.72906621135004</v>
      </c>
      <c r="J275" s="14">
        <v>10351231.619999999</v>
      </c>
    </row>
    <row r="276" spans="1:10" s="3" customFormat="1" x14ac:dyDescent="0.2">
      <c r="A276" s="118">
        <v>2212</v>
      </c>
      <c r="B276" s="311" t="s">
        <v>539</v>
      </c>
      <c r="C276" s="217">
        <f>SUM(C277,C280:C283)</f>
        <v>26600000</v>
      </c>
      <c r="D276" s="217">
        <f>SUM(D277,D280:D283)</f>
        <v>26732490</v>
      </c>
      <c r="E276" s="591">
        <v>11235891</v>
      </c>
      <c r="F276" s="46">
        <f>SUM(E277:E283)</f>
        <v>11235891</v>
      </c>
      <c r="G276" s="120">
        <f>E276/C276*100</f>
        <v>42.240191729323307</v>
      </c>
      <c r="H276" s="486">
        <f t="shared" si="106"/>
        <v>42.030843367003975</v>
      </c>
      <c r="I276" s="121">
        <f t="shared" ref="I276:I283" si="107">E276/J276*100</f>
        <v>109.34816497337843</v>
      </c>
      <c r="J276" s="6">
        <v>10275335.67</v>
      </c>
    </row>
    <row r="277" spans="1:10" s="2" customFormat="1" x14ac:dyDescent="0.2">
      <c r="A277" s="131"/>
      <c r="B277" s="310" t="s">
        <v>538</v>
      </c>
      <c r="C277" s="127">
        <f>SUM(C278:C279)</f>
        <v>2400000</v>
      </c>
      <c r="D277" s="127">
        <f>SUM(D278:D279)</f>
        <v>2400000</v>
      </c>
      <c r="E277" s="130">
        <v>0</v>
      </c>
      <c r="F277" s="130"/>
      <c r="G277" s="126">
        <f t="shared" ref="G277:G290" si="108">E277/C277*100</f>
        <v>0</v>
      </c>
      <c r="H277" s="130">
        <f>E277/D277*100</f>
        <v>0</v>
      </c>
      <c r="I277" s="130">
        <v>0</v>
      </c>
      <c r="J277" s="14">
        <v>0</v>
      </c>
    </row>
    <row r="278" spans="1:10" s="3" customFormat="1" x14ac:dyDescent="0.2">
      <c r="A278" s="293" t="s">
        <v>536</v>
      </c>
      <c r="B278" s="309" t="s">
        <v>537</v>
      </c>
      <c r="C278" s="126">
        <v>2200000</v>
      </c>
      <c r="D278" s="126">
        <v>2200000</v>
      </c>
      <c r="E278" s="126">
        <v>0</v>
      </c>
      <c r="F278" s="126"/>
      <c r="G278" s="126">
        <f t="shared" si="108"/>
        <v>0</v>
      </c>
      <c r="H278" s="126">
        <f t="shared" ref="H278:H304" si="109">E278/D278*100</f>
        <v>0</v>
      </c>
      <c r="I278" s="126">
        <v>0</v>
      </c>
      <c r="J278" s="14">
        <v>0</v>
      </c>
    </row>
    <row r="279" spans="1:10" s="3" customFormat="1" x14ac:dyDescent="0.2">
      <c r="A279" s="293" t="s">
        <v>536</v>
      </c>
      <c r="B279" s="309" t="s">
        <v>535</v>
      </c>
      <c r="C279" s="126">
        <v>200000</v>
      </c>
      <c r="D279" s="126">
        <v>200000</v>
      </c>
      <c r="E279" s="297">
        <v>0</v>
      </c>
      <c r="F279" s="130"/>
      <c r="G279" s="126">
        <f t="shared" si="108"/>
        <v>0</v>
      </c>
      <c r="H279" s="126">
        <f t="shared" si="109"/>
        <v>0</v>
      </c>
      <c r="I279" s="126">
        <v>0</v>
      </c>
      <c r="J279" s="14">
        <v>0</v>
      </c>
    </row>
    <row r="280" spans="1:10" s="3" customFormat="1" x14ac:dyDescent="0.2">
      <c r="A280" s="293" t="s">
        <v>533</v>
      </c>
      <c r="B280" s="237" t="s">
        <v>534</v>
      </c>
      <c r="C280" s="126">
        <v>3500000</v>
      </c>
      <c r="D280" s="126">
        <f>3500000+42500</f>
        <v>3542500</v>
      </c>
      <c r="E280" s="297">
        <v>1792500</v>
      </c>
      <c r="F280" s="130"/>
      <c r="G280" s="126">
        <f t="shared" si="108"/>
        <v>51.214285714285715</v>
      </c>
      <c r="H280" s="126">
        <f t="shared" si="109"/>
        <v>50.599858856739587</v>
      </c>
      <c r="I280" s="126">
        <f t="shared" si="107"/>
        <v>132.77777777777777</v>
      </c>
      <c r="J280" s="14">
        <v>1350000</v>
      </c>
    </row>
    <row r="281" spans="1:10" s="3" customFormat="1" x14ac:dyDescent="0.2">
      <c r="A281" s="293" t="s">
        <v>533</v>
      </c>
      <c r="B281" s="237" t="s">
        <v>532</v>
      </c>
      <c r="C281" s="126">
        <v>18200000</v>
      </c>
      <c r="D281" s="126">
        <f>18200000+87350</f>
        <v>18287350</v>
      </c>
      <c r="E281" s="297">
        <v>9187352</v>
      </c>
      <c r="F281" s="130"/>
      <c r="G281" s="126">
        <f t="shared" si="108"/>
        <v>50.479956043956044</v>
      </c>
      <c r="H281" s="126">
        <f t="shared" si="109"/>
        <v>50.238837229013498</v>
      </c>
      <c r="I281" s="126">
        <f t="shared" si="107"/>
        <v>104.30690281562217</v>
      </c>
      <c r="J281" s="14">
        <v>8808000</v>
      </c>
    </row>
    <row r="282" spans="1:10" s="3" customFormat="1" x14ac:dyDescent="0.2">
      <c r="A282" s="293" t="s">
        <v>463</v>
      </c>
      <c r="B282" s="237" t="s">
        <v>531</v>
      </c>
      <c r="C282" s="126">
        <v>500000</v>
      </c>
      <c r="D282" s="126">
        <f>500000+2640</f>
        <v>502640</v>
      </c>
      <c r="E282" s="196">
        <v>187854</v>
      </c>
      <c r="F282" s="127"/>
      <c r="G282" s="126">
        <f t="shared" si="108"/>
        <v>37.570799999999998</v>
      </c>
      <c r="H282" s="126">
        <f t="shared" si="109"/>
        <v>37.373468088492757</v>
      </c>
      <c r="I282" s="126">
        <f t="shared" si="107"/>
        <v>858.69558758257085</v>
      </c>
      <c r="J282" s="14">
        <v>21876.67</v>
      </c>
    </row>
    <row r="283" spans="1:10" s="3" customFormat="1" x14ac:dyDescent="0.2">
      <c r="A283" s="293" t="s">
        <v>857</v>
      </c>
      <c r="B283" s="237" t="s">
        <v>858</v>
      </c>
      <c r="C283" s="126">
        <f>500000+1500000</f>
        <v>2000000</v>
      </c>
      <c r="D283" s="126">
        <f>500000+1500000</f>
        <v>2000000</v>
      </c>
      <c r="E283" s="485">
        <v>68185</v>
      </c>
      <c r="F283" s="127"/>
      <c r="G283" s="126">
        <f t="shared" si="108"/>
        <v>3.4092499999999997</v>
      </c>
      <c r="H283" s="126">
        <f t="shared" si="109"/>
        <v>3.4092499999999997</v>
      </c>
      <c r="I283" s="126">
        <f t="shared" si="107"/>
        <v>71.428571428571431</v>
      </c>
      <c r="J283" s="14">
        <v>95459</v>
      </c>
    </row>
    <row r="284" spans="1:10" s="3" customFormat="1" x14ac:dyDescent="0.2">
      <c r="A284" s="123">
        <v>2219</v>
      </c>
      <c r="B284" s="308" t="s">
        <v>530</v>
      </c>
      <c r="C284" s="122">
        <f>SUM(C285:C287)</f>
        <v>300000</v>
      </c>
      <c r="D284" s="122">
        <f>SUM(D285:D287)</f>
        <v>1455128.5</v>
      </c>
      <c r="E284" s="121">
        <v>1155128.5</v>
      </c>
      <c r="F284" s="130">
        <f>SUM(E285:E287)</f>
        <v>1155128.5</v>
      </c>
      <c r="G284" s="120">
        <f t="shared" si="108"/>
        <v>385.04283333333331</v>
      </c>
      <c r="H284" s="120">
        <f t="shared" si="109"/>
        <v>79.383264089735022</v>
      </c>
      <c r="I284" s="120">
        <f t="shared" ref="I284" si="110">E284/J284*100</f>
        <v>1822.2046349520547</v>
      </c>
      <c r="J284" s="14">
        <v>63391.81</v>
      </c>
    </row>
    <row r="285" spans="1:10" s="3" customFormat="1" x14ac:dyDescent="0.2">
      <c r="A285" s="293" t="s">
        <v>434</v>
      </c>
      <c r="B285" s="237" t="s">
        <v>529</v>
      </c>
      <c r="C285" s="126">
        <v>100000</v>
      </c>
      <c r="D285" s="126">
        <v>100000</v>
      </c>
      <c r="E285" s="130">
        <v>0</v>
      </c>
      <c r="F285" s="130"/>
      <c r="G285" s="126">
        <f t="shared" si="108"/>
        <v>0</v>
      </c>
      <c r="H285" s="126">
        <f t="shared" si="109"/>
        <v>0</v>
      </c>
      <c r="I285" s="126">
        <v>0</v>
      </c>
      <c r="J285" s="14">
        <v>0</v>
      </c>
    </row>
    <row r="286" spans="1:10" s="3" customFormat="1" x14ac:dyDescent="0.2">
      <c r="A286" s="293" t="s">
        <v>433</v>
      </c>
      <c r="B286" s="237" t="s">
        <v>528</v>
      </c>
      <c r="C286" s="126">
        <v>200000</v>
      </c>
      <c r="D286" s="126">
        <v>200000</v>
      </c>
      <c r="E286" s="130">
        <v>0</v>
      </c>
      <c r="F286" s="130"/>
      <c r="G286" s="126">
        <f t="shared" ref="G286" si="111">E286/C286*100</f>
        <v>0</v>
      </c>
      <c r="H286" s="126">
        <f t="shared" ref="H286" si="112">E286/D286*100</f>
        <v>0</v>
      </c>
      <c r="I286" s="126">
        <v>0</v>
      </c>
      <c r="J286" s="14">
        <v>102651.01</v>
      </c>
    </row>
    <row r="287" spans="1:10" s="3" customFormat="1" x14ac:dyDescent="0.2">
      <c r="A287" s="293" t="s">
        <v>912</v>
      </c>
      <c r="B287" s="237" t="s">
        <v>913</v>
      </c>
      <c r="C287" s="126">
        <v>0</v>
      </c>
      <c r="D287" s="126">
        <v>1155128.5</v>
      </c>
      <c r="E287" s="130">
        <v>1155128.5</v>
      </c>
      <c r="F287" s="130"/>
      <c r="G287" s="126">
        <v>0</v>
      </c>
      <c r="H287" s="126">
        <f t="shared" si="109"/>
        <v>100</v>
      </c>
      <c r="I287" s="126">
        <v>0</v>
      </c>
      <c r="J287" s="14">
        <v>2700</v>
      </c>
    </row>
    <row r="288" spans="1:10" x14ac:dyDescent="0.2">
      <c r="A288" s="123">
        <v>2221</v>
      </c>
      <c r="B288" s="180" t="s">
        <v>527</v>
      </c>
      <c r="C288" s="136">
        <f>SUM(C289:C290)</f>
        <v>150000</v>
      </c>
      <c r="D288" s="136">
        <f>SUM(D289:D290)</f>
        <v>150000</v>
      </c>
      <c r="E288" s="486">
        <v>2413.46</v>
      </c>
      <c r="F288" s="151">
        <f>SUM(E289:E290)</f>
        <v>2413.46</v>
      </c>
      <c r="G288" s="120">
        <f t="shared" si="108"/>
        <v>1.6089733333333336</v>
      </c>
      <c r="H288" s="120">
        <f t="shared" si="109"/>
        <v>1.6089733333333336</v>
      </c>
      <c r="I288" s="120">
        <f t="shared" ref="I288:I292" si="113">E288/J288*100</f>
        <v>19.301287413608613</v>
      </c>
      <c r="J288" s="14">
        <v>12504.14</v>
      </c>
    </row>
    <row r="289" spans="1:10" x14ac:dyDescent="0.2">
      <c r="A289" s="288" t="s">
        <v>526</v>
      </c>
      <c r="B289" s="307" t="s">
        <v>525</v>
      </c>
      <c r="C289" s="126">
        <v>60000</v>
      </c>
      <c r="D289" s="126">
        <v>60000</v>
      </c>
      <c r="E289" s="297">
        <v>325</v>
      </c>
      <c r="F289" s="130"/>
      <c r="G289" s="126">
        <f t="shared" si="108"/>
        <v>0.54166666666666674</v>
      </c>
      <c r="H289" s="126">
        <f t="shared" si="109"/>
        <v>0.54166666666666674</v>
      </c>
      <c r="I289" s="130">
        <v>0</v>
      </c>
      <c r="J289" s="14">
        <v>0</v>
      </c>
    </row>
    <row r="290" spans="1:10" ht="13.5" thickBot="1" x14ac:dyDescent="0.25">
      <c r="A290" s="306" t="s">
        <v>524</v>
      </c>
      <c r="B290" s="305" t="s">
        <v>523</v>
      </c>
      <c r="C290" s="126">
        <v>90000</v>
      </c>
      <c r="D290" s="126">
        <v>90000</v>
      </c>
      <c r="E290" s="302">
        <v>2088.46</v>
      </c>
      <c r="F290" s="117"/>
      <c r="G290" s="126">
        <f t="shared" si="108"/>
        <v>2.3205111111111112</v>
      </c>
      <c r="H290" s="151">
        <f t="shared" si="109"/>
        <v>2.3205111111111112</v>
      </c>
      <c r="I290" s="117">
        <f t="shared" si="113"/>
        <v>16.702148248500098</v>
      </c>
      <c r="J290" s="14">
        <v>12504.14</v>
      </c>
    </row>
    <row r="291" spans="1:10" ht="16.5" thickBot="1" x14ac:dyDescent="0.3">
      <c r="A291" s="158"/>
      <c r="B291" s="158" t="s">
        <v>522</v>
      </c>
      <c r="C291" s="157">
        <f>C292</f>
        <v>2334000</v>
      </c>
      <c r="D291" s="157">
        <f>D292</f>
        <v>2334000</v>
      </c>
      <c r="E291" s="312">
        <v>1315668</v>
      </c>
      <c r="F291" s="712"/>
      <c r="G291" s="479">
        <f>E291/C291*100</f>
        <v>56.369665809768634</v>
      </c>
      <c r="H291" s="479">
        <f t="shared" si="109"/>
        <v>56.369665809768634</v>
      </c>
      <c r="I291" s="479">
        <f t="shared" si="113"/>
        <v>879.19216867107582</v>
      </c>
      <c r="J291" s="14">
        <v>149645.1</v>
      </c>
    </row>
    <row r="292" spans="1:10" x14ac:dyDescent="0.2">
      <c r="A292" s="224">
        <v>3639</v>
      </c>
      <c r="B292" s="224" t="s">
        <v>521</v>
      </c>
      <c r="C292" s="217">
        <f>SUM(C293:C296)</f>
        <v>2334000</v>
      </c>
      <c r="D292" s="217">
        <f>SUM(D293:D296)</f>
        <v>2334000</v>
      </c>
      <c r="E292" s="539">
        <v>1315668</v>
      </c>
      <c r="F292" s="484">
        <f>SUM(E293:E296)</f>
        <v>1315668</v>
      </c>
      <c r="G292" s="120">
        <f>E292/C292*100</f>
        <v>56.369665809768634</v>
      </c>
      <c r="H292" s="486">
        <f t="shared" si="109"/>
        <v>56.369665809768634</v>
      </c>
      <c r="I292" s="486">
        <f t="shared" si="113"/>
        <v>879.19216867107582</v>
      </c>
      <c r="J292" s="14">
        <v>149645.1</v>
      </c>
    </row>
    <row r="293" spans="1:10" x14ac:dyDescent="0.2">
      <c r="A293" s="288" t="s">
        <v>520</v>
      </c>
      <c r="B293" s="304" t="s">
        <v>519</v>
      </c>
      <c r="C293" s="303">
        <v>1600000</v>
      </c>
      <c r="D293" s="303">
        <v>1600000</v>
      </c>
      <c r="E293" s="130">
        <v>1102901</v>
      </c>
      <c r="F293" s="130"/>
      <c r="G293" s="126">
        <f t="shared" ref="G293:G296" si="114">E293/C293*100</f>
        <v>68.93131249999999</v>
      </c>
      <c r="H293" s="130">
        <f t="shared" si="109"/>
        <v>68.93131249999999</v>
      </c>
      <c r="I293" s="130">
        <v>0</v>
      </c>
      <c r="J293" s="14">
        <v>0</v>
      </c>
    </row>
    <row r="294" spans="1:10" x14ac:dyDescent="0.2">
      <c r="A294" s="288" t="s">
        <v>517</v>
      </c>
      <c r="B294" s="155" t="s">
        <v>518</v>
      </c>
      <c r="C294" s="126">
        <v>150000</v>
      </c>
      <c r="D294" s="126">
        <v>150000</v>
      </c>
      <c r="E294" s="126">
        <v>0</v>
      </c>
      <c r="F294" s="126"/>
      <c r="G294" s="126">
        <f t="shared" si="114"/>
        <v>0</v>
      </c>
      <c r="H294" s="126">
        <f t="shared" si="109"/>
        <v>0</v>
      </c>
      <c r="I294" s="126">
        <f t="shared" ref="I294:I296" si="115">E294/J294*100</f>
        <v>0</v>
      </c>
      <c r="J294" s="14">
        <v>1996.5</v>
      </c>
    </row>
    <row r="295" spans="1:10" x14ac:dyDescent="0.2">
      <c r="A295" s="287" t="s">
        <v>517</v>
      </c>
      <c r="B295" s="154" t="s">
        <v>516</v>
      </c>
      <c r="C295" s="126">
        <v>50000</v>
      </c>
      <c r="D295" s="126">
        <v>50000</v>
      </c>
      <c r="E295" s="130">
        <v>0</v>
      </c>
      <c r="F295" s="130"/>
      <c r="G295" s="126">
        <f t="shared" si="114"/>
        <v>0</v>
      </c>
      <c r="H295" s="126">
        <f t="shared" si="109"/>
        <v>0</v>
      </c>
      <c r="I295" s="126">
        <v>0</v>
      </c>
      <c r="J295" s="14">
        <v>0</v>
      </c>
    </row>
    <row r="296" spans="1:10" ht="13.5" thickBot="1" x14ac:dyDescent="0.25">
      <c r="A296" s="301" t="s">
        <v>860</v>
      </c>
      <c r="B296" s="155" t="s">
        <v>859</v>
      </c>
      <c r="C296" s="126">
        <f>50000+10000+4000+50000+110000+250000+20000+40000</f>
        <v>534000</v>
      </c>
      <c r="D296" s="126">
        <f>50000+10000+4000+50000+110000+250000+20000+40000</f>
        <v>534000</v>
      </c>
      <c r="E296" s="130">
        <v>212767</v>
      </c>
      <c r="F296" s="130"/>
      <c r="G296" s="126">
        <f t="shared" si="114"/>
        <v>39.844007490636699</v>
      </c>
      <c r="H296" s="126">
        <f t="shared" si="109"/>
        <v>39.844007490636699</v>
      </c>
      <c r="I296" s="126">
        <f t="shared" si="115"/>
        <v>144.103635252891</v>
      </c>
      <c r="J296" s="14">
        <v>147648.6</v>
      </c>
    </row>
    <row r="297" spans="1:10" ht="16.5" thickBot="1" x14ac:dyDescent="0.3">
      <c r="A297" s="158"/>
      <c r="B297" s="158" t="s">
        <v>515</v>
      </c>
      <c r="C297" s="300">
        <f>SUM(C298,C300,C303,C307,C311,C316,C319)</f>
        <v>15688788.33</v>
      </c>
      <c r="D297" s="300">
        <f>SUM(D298,D300,D303,D307,D311,D316,D319)</f>
        <v>15735888.33</v>
      </c>
      <c r="E297" s="387">
        <v>5019728.33</v>
      </c>
      <c r="F297" s="706">
        <f>SUM(E298,E300,E303,E307,E311,E316,E319)</f>
        <v>5019728.3299999991</v>
      </c>
      <c r="G297" s="479">
        <f>E297/C297*100</f>
        <v>31.995640609168703</v>
      </c>
      <c r="H297" s="479">
        <f t="shared" si="109"/>
        <v>31.899872601599732</v>
      </c>
      <c r="I297" s="479">
        <f>E297/J297*100</f>
        <v>83.791949181351839</v>
      </c>
      <c r="J297" s="14">
        <v>5990704.8099999996</v>
      </c>
    </row>
    <row r="298" spans="1:10" x14ac:dyDescent="0.2">
      <c r="A298" s="224">
        <v>3341</v>
      </c>
      <c r="B298" s="224" t="s">
        <v>514</v>
      </c>
      <c r="C298" s="217">
        <f>SUM(C299:C299)</f>
        <v>150000</v>
      </c>
      <c r="D298" s="217">
        <f>SUM(D299:D299)</f>
        <v>150000</v>
      </c>
      <c r="E298" s="187">
        <v>98109.8</v>
      </c>
      <c r="F298" s="716"/>
      <c r="G298" s="120">
        <f>E298/C298*100</f>
        <v>65.406533333333343</v>
      </c>
      <c r="H298" s="120">
        <f t="shared" si="109"/>
        <v>65.406533333333343</v>
      </c>
      <c r="I298" s="120">
        <f>E298/J298*100</f>
        <v>992.14052403248138</v>
      </c>
      <c r="J298" s="296">
        <v>9888.7000000000007</v>
      </c>
    </row>
    <row r="299" spans="1:10" x14ac:dyDescent="0.2">
      <c r="A299" s="288" t="s">
        <v>861</v>
      </c>
      <c r="B299" s="131" t="s">
        <v>862</v>
      </c>
      <c r="C299" s="126">
        <f>145000+5000</f>
        <v>150000</v>
      </c>
      <c r="D299" s="126">
        <f>145000+5000</f>
        <v>150000</v>
      </c>
      <c r="E299" s="294">
        <v>98109.8</v>
      </c>
      <c r="F299" s="294"/>
      <c r="G299" s="126">
        <f t="shared" ref="G299:G320" si="116">E299/C299*100</f>
        <v>65.406533333333343</v>
      </c>
      <c r="H299" s="126">
        <f t="shared" si="109"/>
        <v>65.406533333333343</v>
      </c>
      <c r="I299" s="126">
        <f>E299/J299*100</f>
        <v>992.14052403248138</v>
      </c>
      <c r="J299" s="201">
        <v>9888.7000000000007</v>
      </c>
    </row>
    <row r="300" spans="1:10" x14ac:dyDescent="0.2">
      <c r="A300" s="137">
        <v>3421</v>
      </c>
      <c r="B300" s="123" t="s">
        <v>513</v>
      </c>
      <c r="C300" s="122">
        <f>SUM(C301:C302)</f>
        <v>1880000</v>
      </c>
      <c r="D300" s="122">
        <f>SUM(D301:D302)</f>
        <v>1880000</v>
      </c>
      <c r="E300" s="540">
        <v>67413.490000000005</v>
      </c>
      <c r="F300" s="487">
        <f>SUM(E301:E302)</f>
        <v>67413.489999999991</v>
      </c>
      <c r="G300" s="120">
        <f t="shared" si="116"/>
        <v>3.5858239361702133</v>
      </c>
      <c r="H300" s="120">
        <f t="shared" si="109"/>
        <v>3.5858239361702133</v>
      </c>
      <c r="I300" s="120">
        <f t="shared" ref="I300:I304" si="117">E300/J300*100</f>
        <v>80.021520769382349</v>
      </c>
      <c r="J300" s="14">
        <v>84244.2</v>
      </c>
    </row>
    <row r="301" spans="1:10" x14ac:dyDescent="0.2">
      <c r="A301" s="288" t="s">
        <v>864</v>
      </c>
      <c r="B301" s="299" t="s">
        <v>863</v>
      </c>
      <c r="C301" s="133">
        <f>1000000+110000+120000+300000</f>
        <v>1530000</v>
      </c>
      <c r="D301" s="133">
        <f>1000000+110000+120000+300000</f>
        <v>1530000</v>
      </c>
      <c r="E301" s="127">
        <v>5337</v>
      </c>
      <c r="F301" s="289"/>
      <c r="G301" s="126">
        <f t="shared" si="116"/>
        <v>0.3488235294117647</v>
      </c>
      <c r="H301" s="126">
        <f t="shared" si="109"/>
        <v>0.3488235294117647</v>
      </c>
      <c r="I301" s="126">
        <v>0</v>
      </c>
      <c r="J301" s="14">
        <v>0</v>
      </c>
    </row>
    <row r="302" spans="1:10" x14ac:dyDescent="0.2">
      <c r="A302" s="288" t="s">
        <v>512</v>
      </c>
      <c r="B302" s="298" t="s">
        <v>511</v>
      </c>
      <c r="C302" s="126">
        <v>350000</v>
      </c>
      <c r="D302" s="126">
        <v>350000</v>
      </c>
      <c r="E302" s="292">
        <v>62076.49</v>
      </c>
      <c r="F302" s="292"/>
      <c r="G302" s="126">
        <f t="shared" si="116"/>
        <v>17.736139999999999</v>
      </c>
      <c r="H302" s="126">
        <f t="shared" si="109"/>
        <v>17.736139999999999</v>
      </c>
      <c r="I302" s="126">
        <f t="shared" si="117"/>
        <v>73.686366539180142</v>
      </c>
      <c r="J302" s="14">
        <v>84244.2</v>
      </c>
    </row>
    <row r="303" spans="1:10" x14ac:dyDescent="0.2">
      <c r="A303" s="123">
        <v>3613</v>
      </c>
      <c r="B303" s="123" t="s">
        <v>510</v>
      </c>
      <c r="C303" s="122">
        <f>SUM(C304:C306)</f>
        <v>995000</v>
      </c>
      <c r="D303" s="122">
        <f>SUM(D304:D306)</f>
        <v>995000</v>
      </c>
      <c r="E303" s="361">
        <v>84603.41</v>
      </c>
      <c r="F303" s="292">
        <f>SUM(E304:E306)</f>
        <v>84603.41</v>
      </c>
      <c r="G303" s="120">
        <f t="shared" si="116"/>
        <v>8.5028552763819096</v>
      </c>
      <c r="H303" s="120">
        <f t="shared" si="109"/>
        <v>8.5028552763819096</v>
      </c>
      <c r="I303" s="120">
        <f t="shared" si="117"/>
        <v>28.185658042791502</v>
      </c>
      <c r="J303" s="14">
        <v>300164.75</v>
      </c>
    </row>
    <row r="304" spans="1:10" x14ac:dyDescent="0.2">
      <c r="A304" s="290" t="s">
        <v>865</v>
      </c>
      <c r="B304" s="291" t="s">
        <v>866</v>
      </c>
      <c r="C304" s="126">
        <f>5000+5000+250000+60000+300000</f>
        <v>620000</v>
      </c>
      <c r="D304" s="126">
        <f>5000+5000+250000+60000+300000</f>
        <v>620000</v>
      </c>
      <c r="E304" s="292">
        <v>0</v>
      </c>
      <c r="F304" s="292"/>
      <c r="G304" s="126">
        <f t="shared" si="116"/>
        <v>0</v>
      </c>
      <c r="H304" s="126">
        <f t="shared" si="109"/>
        <v>0</v>
      </c>
      <c r="I304" s="126">
        <f t="shared" si="117"/>
        <v>0</v>
      </c>
      <c r="J304" s="14">
        <v>116804.31</v>
      </c>
    </row>
    <row r="305" spans="1:10" ht="12.75" customHeight="1" x14ac:dyDescent="0.2">
      <c r="A305" s="290" t="s">
        <v>509</v>
      </c>
      <c r="B305" s="155" t="s">
        <v>508</v>
      </c>
      <c r="C305" s="126">
        <v>175000</v>
      </c>
      <c r="D305" s="126">
        <v>175000</v>
      </c>
      <c r="E305" s="289">
        <v>24661.82</v>
      </c>
      <c r="F305" s="289"/>
      <c r="G305" s="126">
        <f t="shared" si="116"/>
        <v>14.09246857142857</v>
      </c>
      <c r="H305" s="126">
        <f t="shared" ref="H305:H306" si="118">E305/D305*100</f>
        <v>14.09246857142857</v>
      </c>
      <c r="I305" s="126">
        <f>E305/J305*100</f>
        <v>72.571925800829192</v>
      </c>
      <c r="J305" s="14">
        <v>33982.589999999997</v>
      </c>
    </row>
    <row r="306" spans="1:10" x14ac:dyDescent="0.2">
      <c r="A306" s="290" t="s">
        <v>507</v>
      </c>
      <c r="B306" s="155" t="s">
        <v>506</v>
      </c>
      <c r="C306" s="126">
        <v>200000</v>
      </c>
      <c r="D306" s="126">
        <v>200000</v>
      </c>
      <c r="E306" s="289">
        <v>59941.59</v>
      </c>
      <c r="F306" s="289"/>
      <c r="G306" s="126">
        <f t="shared" si="116"/>
        <v>29.970794999999999</v>
      </c>
      <c r="H306" s="126">
        <f t="shared" si="118"/>
        <v>29.970794999999999</v>
      </c>
      <c r="I306" s="126">
        <f>E306/J306*100</f>
        <v>40.127495475400131</v>
      </c>
      <c r="J306" s="14">
        <v>149377.85</v>
      </c>
    </row>
    <row r="307" spans="1:10" x14ac:dyDescent="0.2">
      <c r="A307" s="123">
        <v>3631</v>
      </c>
      <c r="B307" s="123" t="s">
        <v>505</v>
      </c>
      <c r="C307" s="122">
        <f>SUM(C308:C310)</f>
        <v>9200000</v>
      </c>
      <c r="D307" s="122">
        <f>SUM(D308:D310)</f>
        <v>9223550</v>
      </c>
      <c r="E307" s="18">
        <v>3308019.07</v>
      </c>
      <c r="F307" s="233">
        <f>SUM(E308:E310)</f>
        <v>3308019.0700000003</v>
      </c>
      <c r="G307" s="120">
        <f t="shared" si="116"/>
        <v>35.956729021739129</v>
      </c>
      <c r="H307" s="121">
        <f t="shared" ref="H307:H329" si="119">E307/D307*100</f>
        <v>35.864922616563035</v>
      </c>
      <c r="I307" s="121">
        <f t="shared" ref="I307:I314" si="120">E307/J307*100</f>
        <v>75.464405628623965</v>
      </c>
      <c r="J307" s="14">
        <v>4383548.83</v>
      </c>
    </row>
    <row r="308" spans="1:10" x14ac:dyDescent="0.2">
      <c r="A308" s="290" t="s">
        <v>867</v>
      </c>
      <c r="B308" s="155" t="s">
        <v>868</v>
      </c>
      <c r="C308" s="126">
        <f>600000+100000</f>
        <v>700000</v>
      </c>
      <c r="D308" s="126">
        <f>600000+100000</f>
        <v>700000</v>
      </c>
      <c r="E308" s="10">
        <v>0</v>
      </c>
      <c r="F308" s="233"/>
      <c r="G308" s="126">
        <f t="shared" si="116"/>
        <v>0</v>
      </c>
      <c r="H308" s="130">
        <f t="shared" si="119"/>
        <v>0</v>
      </c>
      <c r="I308" s="130">
        <f t="shared" si="120"/>
        <v>0</v>
      </c>
      <c r="J308" s="14">
        <v>16456</v>
      </c>
    </row>
    <row r="309" spans="1:10" x14ac:dyDescent="0.2">
      <c r="A309" s="288" t="s">
        <v>504</v>
      </c>
      <c r="B309" s="155" t="s">
        <v>503</v>
      </c>
      <c r="C309" s="126">
        <v>4000000</v>
      </c>
      <c r="D309" s="126">
        <f>4000000+23550</f>
        <v>4023550</v>
      </c>
      <c r="E309" s="233">
        <v>2023552</v>
      </c>
      <c r="F309" s="233"/>
      <c r="G309" s="126">
        <f t="shared" si="116"/>
        <v>50.588799999999999</v>
      </c>
      <c r="H309" s="126">
        <f t="shared" si="119"/>
        <v>50.292701718631562</v>
      </c>
      <c r="I309" s="126">
        <f t="shared" si="120"/>
        <v>102.19959595959595</v>
      </c>
      <c r="J309" s="14">
        <v>1980000</v>
      </c>
    </row>
    <row r="310" spans="1:10" x14ac:dyDescent="0.2">
      <c r="A310" s="288" t="s">
        <v>502</v>
      </c>
      <c r="B310" s="155" t="s">
        <v>501</v>
      </c>
      <c r="C310" s="126">
        <v>4500000</v>
      </c>
      <c r="D310" s="126">
        <v>4500000</v>
      </c>
      <c r="E310" s="233">
        <v>1284467.07</v>
      </c>
      <c r="F310" s="233"/>
      <c r="G310" s="126">
        <f t="shared" si="116"/>
        <v>28.543712666666671</v>
      </c>
      <c r="H310" s="126">
        <f t="shared" si="119"/>
        <v>28.543712666666671</v>
      </c>
      <c r="I310" s="126">
        <f t="shared" si="120"/>
        <v>53.808844543343547</v>
      </c>
      <c r="J310" s="14">
        <v>2387092.83</v>
      </c>
    </row>
    <row r="311" spans="1:10" x14ac:dyDescent="0.2">
      <c r="A311" s="229">
        <v>3632</v>
      </c>
      <c r="B311" s="229" t="s">
        <v>500</v>
      </c>
      <c r="C311" s="122">
        <f>SUM(C312,C314:C315)</f>
        <v>3250000</v>
      </c>
      <c r="D311" s="122">
        <f>SUM(D312,D314:D315)</f>
        <v>3273550</v>
      </c>
      <c r="E311" s="238">
        <v>1273552</v>
      </c>
      <c r="F311" s="233">
        <f>SUM(E312:E315)</f>
        <v>1273552</v>
      </c>
      <c r="G311" s="120">
        <f t="shared" si="116"/>
        <v>39.186215384615387</v>
      </c>
      <c r="H311" s="120">
        <f t="shared" si="119"/>
        <v>38.904308777932215</v>
      </c>
      <c r="I311" s="120">
        <f t="shared" si="120"/>
        <v>105.77059473286437</v>
      </c>
      <c r="J311" s="14">
        <v>1204070</v>
      </c>
    </row>
    <row r="312" spans="1:10" x14ac:dyDescent="0.2">
      <c r="A312" s="131"/>
      <c r="B312" s="131" t="s">
        <v>499</v>
      </c>
      <c r="C312" s="127">
        <f>SUM(C313:C313)</f>
        <v>650000</v>
      </c>
      <c r="D312" s="127">
        <f>SUM(D313:D313)</f>
        <v>650000</v>
      </c>
      <c r="E312" s="233">
        <v>0</v>
      </c>
      <c r="F312" s="233"/>
      <c r="G312" s="126">
        <f t="shared" si="116"/>
        <v>0</v>
      </c>
      <c r="H312" s="126">
        <f t="shared" si="119"/>
        <v>0</v>
      </c>
      <c r="I312" s="126">
        <f t="shared" si="120"/>
        <v>0</v>
      </c>
      <c r="J312" s="14">
        <v>202070</v>
      </c>
    </row>
    <row r="313" spans="1:10" x14ac:dyDescent="0.2">
      <c r="A313" s="288" t="s">
        <v>498</v>
      </c>
      <c r="B313" s="155" t="s">
        <v>497</v>
      </c>
      <c r="C313" s="126">
        <v>650000</v>
      </c>
      <c r="D313" s="126">
        <v>650000</v>
      </c>
      <c r="E313" s="10">
        <v>0</v>
      </c>
      <c r="F313" s="10"/>
      <c r="G313" s="126">
        <f t="shared" si="116"/>
        <v>0</v>
      </c>
      <c r="H313" s="126">
        <f t="shared" ref="H313:H314" si="121">E313/D313*100</f>
        <v>0</v>
      </c>
      <c r="I313" s="126">
        <v>0</v>
      </c>
      <c r="J313" s="14">
        <v>0</v>
      </c>
    </row>
    <row r="314" spans="1:10" x14ac:dyDescent="0.2">
      <c r="A314" s="293" t="s">
        <v>496</v>
      </c>
      <c r="B314" s="155" t="s">
        <v>495</v>
      </c>
      <c r="C314" s="126">
        <v>2500000</v>
      </c>
      <c r="D314" s="126">
        <f>2500000+23550</f>
        <v>2523550</v>
      </c>
      <c r="E314" s="10">
        <v>1273552</v>
      </c>
      <c r="F314" s="10"/>
      <c r="G314" s="126">
        <f t="shared" si="116"/>
        <v>50.942080000000004</v>
      </c>
      <c r="H314" s="126">
        <f t="shared" si="121"/>
        <v>50.466683838243739</v>
      </c>
      <c r="I314" s="126">
        <f t="shared" si="120"/>
        <v>127.10099800399202</v>
      </c>
      <c r="J314" s="14">
        <v>1002000</v>
      </c>
    </row>
    <row r="315" spans="1:10" s="3" customFormat="1" x14ac:dyDescent="0.2">
      <c r="A315" s="293" t="s">
        <v>494</v>
      </c>
      <c r="B315" s="155" t="s">
        <v>493</v>
      </c>
      <c r="C315" s="126">
        <v>100000</v>
      </c>
      <c r="D315" s="126">
        <v>100000</v>
      </c>
      <c r="E315" s="285">
        <v>0</v>
      </c>
      <c r="F315" s="11"/>
      <c r="G315" s="126">
        <f t="shared" si="116"/>
        <v>0</v>
      </c>
      <c r="H315" s="151">
        <f t="shared" si="119"/>
        <v>0</v>
      </c>
      <c r="I315" s="151">
        <v>0</v>
      </c>
      <c r="J315" s="14">
        <v>0</v>
      </c>
    </row>
    <row r="316" spans="1:10" s="3" customFormat="1" x14ac:dyDescent="0.2">
      <c r="A316" s="123">
        <v>3639</v>
      </c>
      <c r="B316" s="123" t="s">
        <v>492</v>
      </c>
      <c r="C316" s="122">
        <f>SUM(C317:C318)</f>
        <v>13788.33</v>
      </c>
      <c r="D316" s="122">
        <f>SUM(D317:D318)</f>
        <v>13788.33</v>
      </c>
      <c r="E316" s="18">
        <v>9069.56</v>
      </c>
      <c r="F316" s="10">
        <f>SUM(E317:E318)</f>
        <v>9069.56</v>
      </c>
      <c r="G316" s="120">
        <f t="shared" si="116"/>
        <v>65.777073800815614</v>
      </c>
      <c r="H316" s="121">
        <f t="shared" si="119"/>
        <v>65.777073800815614</v>
      </c>
      <c r="I316" s="121">
        <f>E316/J316*100</f>
        <v>103.20003914281779</v>
      </c>
      <c r="J316" s="14">
        <v>8788.33</v>
      </c>
    </row>
    <row r="317" spans="1:10" s="3" customFormat="1" x14ac:dyDescent="0.2">
      <c r="A317" s="288" t="s">
        <v>491</v>
      </c>
      <c r="B317" s="291" t="s">
        <v>490</v>
      </c>
      <c r="C317" s="127">
        <v>8788.33</v>
      </c>
      <c r="D317" s="127">
        <f>8788.33+281.23</f>
        <v>9069.56</v>
      </c>
      <c r="E317" s="488">
        <v>9069.56</v>
      </c>
      <c r="F317" s="9"/>
      <c r="G317" s="126">
        <f t="shared" si="116"/>
        <v>103.20003914281779</v>
      </c>
      <c r="H317" s="126">
        <f t="shared" si="119"/>
        <v>100</v>
      </c>
      <c r="I317" s="130">
        <f t="shared" ref="I317" si="122">E317/J317*100</f>
        <v>103.20003914281779</v>
      </c>
      <c r="J317" s="14">
        <v>8788.33</v>
      </c>
    </row>
    <row r="318" spans="1:10" s="3" customFormat="1" x14ac:dyDescent="0.2">
      <c r="A318" s="290" t="s">
        <v>489</v>
      </c>
      <c r="B318" s="155" t="s">
        <v>488</v>
      </c>
      <c r="C318" s="126">
        <v>5000</v>
      </c>
      <c r="D318" s="126">
        <f>5000-281.23</f>
        <v>4718.7700000000004</v>
      </c>
      <c r="E318" s="233">
        <v>0</v>
      </c>
      <c r="F318" s="10"/>
      <c r="G318" s="126">
        <f t="shared" si="116"/>
        <v>0</v>
      </c>
      <c r="H318" s="126">
        <f t="shared" si="119"/>
        <v>0</v>
      </c>
      <c r="I318" s="130">
        <v>0</v>
      </c>
      <c r="J318" s="14">
        <v>0</v>
      </c>
    </row>
    <row r="319" spans="1:10" s="3" customFormat="1" x14ac:dyDescent="0.2">
      <c r="A319" s="123">
        <v>3699</v>
      </c>
      <c r="B319" s="123" t="s">
        <v>487</v>
      </c>
      <c r="C319" s="122">
        <f>SUM(C320)</f>
        <v>200000</v>
      </c>
      <c r="D319" s="122">
        <f>SUM(D320)</f>
        <v>200000</v>
      </c>
      <c r="E319" s="238">
        <v>178961</v>
      </c>
      <c r="F319" s="10"/>
      <c r="G319" s="120">
        <f t="shared" si="116"/>
        <v>89.480499999999992</v>
      </c>
      <c r="H319" s="120">
        <f t="shared" si="119"/>
        <v>89.480499999999992</v>
      </c>
      <c r="I319" s="121">
        <v>0</v>
      </c>
      <c r="J319" s="14">
        <v>0</v>
      </c>
    </row>
    <row r="320" spans="1:10" s="3" customFormat="1" x14ac:dyDescent="0.2">
      <c r="A320" s="288" t="s">
        <v>486</v>
      </c>
      <c r="B320" s="155" t="s">
        <v>485</v>
      </c>
      <c r="C320" s="126">
        <v>200000</v>
      </c>
      <c r="D320" s="126">
        <v>200000</v>
      </c>
      <c r="E320" s="233">
        <v>178961</v>
      </c>
      <c r="F320" s="10"/>
      <c r="G320" s="126">
        <f t="shared" si="116"/>
        <v>89.480499999999992</v>
      </c>
      <c r="H320" s="126">
        <f t="shared" si="119"/>
        <v>89.480499999999992</v>
      </c>
      <c r="I320" s="130">
        <v>0</v>
      </c>
      <c r="J320" s="14">
        <v>0</v>
      </c>
    </row>
    <row r="321" spans="1:10" s="3" customFormat="1" ht="13.5" thickBot="1" x14ac:dyDescent="0.25">
      <c r="A321" s="287"/>
      <c r="B321" s="286"/>
      <c r="C321" s="117"/>
      <c r="D321" s="117"/>
      <c r="E321" s="285"/>
      <c r="F321" s="11"/>
      <c r="G321" s="151"/>
      <c r="H321" s="151"/>
      <c r="I321" s="151"/>
      <c r="J321" s="14"/>
    </row>
    <row r="322" spans="1:10" s="3" customFormat="1" ht="21" thickBot="1" x14ac:dyDescent="0.25">
      <c r="A322" s="284"/>
      <c r="B322" s="283" t="s">
        <v>484</v>
      </c>
      <c r="C322" s="181">
        <f>SUM(C323+C333+C381+C391+C409)</f>
        <v>114484000</v>
      </c>
      <c r="D322" s="181">
        <f>SUM(D323+D333+D381+D391+D409)</f>
        <v>98053500</v>
      </c>
      <c r="E322" s="47">
        <v>3247009.54</v>
      </c>
      <c r="F322" s="707">
        <f>SUM(E323,E333,E381,E391,E409)</f>
        <v>3247009.54</v>
      </c>
      <c r="G322" s="571">
        <f>E322/C322*100</f>
        <v>2.836212518779917</v>
      </c>
      <c r="H322" s="181">
        <f>E322/D322*100</f>
        <v>3.3114672500216722</v>
      </c>
      <c r="I322" s="181">
        <f>E322/J322*100</f>
        <v>153.902466648303</v>
      </c>
      <c r="J322" s="6">
        <v>2109783.9500000002</v>
      </c>
    </row>
    <row r="323" spans="1:10" s="3" customFormat="1" ht="16.5" thickBot="1" x14ac:dyDescent="0.25">
      <c r="A323" s="282"/>
      <c r="B323" s="281" t="s">
        <v>483</v>
      </c>
      <c r="C323" s="265">
        <f>SUM(C324+C328)</f>
        <v>5530000</v>
      </c>
      <c r="D323" s="265">
        <f>SUM(D324+D328)</f>
        <v>5530000</v>
      </c>
      <c r="E323" s="43">
        <v>27420</v>
      </c>
      <c r="F323" s="707">
        <f>SUM(E324,E328)</f>
        <v>27420</v>
      </c>
      <c r="G323" s="479">
        <f>E323/C323*100</f>
        <v>0.49584086799276672</v>
      </c>
      <c r="H323" s="479">
        <f t="shared" ref="H323" si="123">E323/D323*100</f>
        <v>0.49584086799276672</v>
      </c>
      <c r="I323" s="479">
        <f>E323/J323*100</f>
        <v>177.61368052856588</v>
      </c>
      <c r="J323" s="14">
        <v>15438</v>
      </c>
    </row>
    <row r="324" spans="1:10" s="3" customFormat="1" x14ac:dyDescent="0.2">
      <c r="A324" s="275">
        <v>2310</v>
      </c>
      <c r="B324" s="274" t="s">
        <v>482</v>
      </c>
      <c r="C324" s="273">
        <f>SUM(C325:C327)</f>
        <v>4950000</v>
      </c>
      <c r="D324" s="273">
        <f>SUM(D325:D327)</f>
        <v>4950000</v>
      </c>
      <c r="E324" s="241">
        <v>2420</v>
      </c>
      <c r="F324" s="9">
        <f>SUM(E325:E327)</f>
        <v>2420</v>
      </c>
      <c r="G324" s="120">
        <f>E324/C324*100</f>
        <v>4.8888888888888885E-2</v>
      </c>
      <c r="H324" s="120">
        <f t="shared" si="119"/>
        <v>4.8888888888888885E-2</v>
      </c>
      <c r="I324" s="120">
        <f>E324/J324*100</f>
        <v>40.333333333333329</v>
      </c>
      <c r="J324" s="14">
        <v>6000</v>
      </c>
    </row>
    <row r="325" spans="1:10" s="3" customFormat="1" x14ac:dyDescent="0.2">
      <c r="A325" s="261" t="s">
        <v>481</v>
      </c>
      <c r="B325" s="260" t="s">
        <v>480</v>
      </c>
      <c r="C325" s="259">
        <v>4800000</v>
      </c>
      <c r="D325" s="259">
        <f>4800000-93200</f>
        <v>4706800</v>
      </c>
      <c r="E325" s="233">
        <v>2420</v>
      </c>
      <c r="F325" s="10"/>
      <c r="G325" s="126">
        <f t="shared" ref="G325:G332" si="124">E325/C325*100</f>
        <v>5.0416666666666665E-2</v>
      </c>
      <c r="H325" s="126">
        <f t="shared" si="119"/>
        <v>5.1414974080054396E-2</v>
      </c>
      <c r="I325" s="126">
        <f t="shared" ref="I325" si="125">E325/J325*100</f>
        <v>40.333333333333329</v>
      </c>
      <c r="J325" s="14">
        <v>6000</v>
      </c>
    </row>
    <row r="326" spans="1:10" s="3" customFormat="1" x14ac:dyDescent="0.2">
      <c r="A326" s="261" t="s">
        <v>479</v>
      </c>
      <c r="B326" s="260" t="s">
        <v>478</v>
      </c>
      <c r="C326" s="259">
        <v>100000</v>
      </c>
      <c r="D326" s="259">
        <f>100000+93200</f>
        <v>193200</v>
      </c>
      <c r="E326" s="233">
        <v>0</v>
      </c>
      <c r="F326" s="10"/>
      <c r="G326" s="126">
        <f t="shared" si="124"/>
        <v>0</v>
      </c>
      <c r="H326" s="126">
        <f t="shared" si="119"/>
        <v>0</v>
      </c>
      <c r="I326" s="126">
        <v>0</v>
      </c>
      <c r="J326" s="14">
        <v>0</v>
      </c>
    </row>
    <row r="327" spans="1:10" s="3" customFormat="1" x14ac:dyDescent="0.2">
      <c r="A327" s="261" t="s">
        <v>477</v>
      </c>
      <c r="B327" s="260" t="s">
        <v>476</v>
      </c>
      <c r="C327" s="259">
        <v>50000</v>
      </c>
      <c r="D327" s="259">
        <v>50000</v>
      </c>
      <c r="E327" s="233">
        <v>0</v>
      </c>
      <c r="F327" s="10"/>
      <c r="G327" s="126">
        <f t="shared" si="124"/>
        <v>0</v>
      </c>
      <c r="H327" s="126">
        <f>E327/D327*100</f>
        <v>0</v>
      </c>
      <c r="I327" s="126">
        <v>0</v>
      </c>
      <c r="J327" s="14">
        <v>0</v>
      </c>
    </row>
    <row r="328" spans="1:10" s="3" customFormat="1" x14ac:dyDescent="0.2">
      <c r="A328" s="271">
        <v>2321</v>
      </c>
      <c r="B328" s="270" t="s">
        <v>475</v>
      </c>
      <c r="C328" s="280">
        <f>SUM(C329:C332)</f>
        <v>580000</v>
      </c>
      <c r="D328" s="280">
        <f>SUM(D329:D332)</f>
        <v>580000</v>
      </c>
      <c r="E328" s="238">
        <v>25000</v>
      </c>
      <c r="F328" s="10">
        <f>SUM(E329:E332)</f>
        <v>25000</v>
      </c>
      <c r="G328" s="120">
        <f t="shared" si="124"/>
        <v>4.3103448275862073</v>
      </c>
      <c r="H328" s="120">
        <f>E328/D328*100</f>
        <v>4.3103448275862073</v>
      </c>
      <c r="I328" s="120">
        <f>E328/J328*100</f>
        <v>543.7146585471944</v>
      </c>
      <c r="J328" s="14">
        <v>4598</v>
      </c>
    </row>
    <row r="329" spans="1:10" s="3" customFormat="1" x14ac:dyDescent="0.2">
      <c r="A329" s="261" t="s">
        <v>474</v>
      </c>
      <c r="B329" s="260" t="s">
        <v>473</v>
      </c>
      <c r="C329" s="259">
        <v>30000</v>
      </c>
      <c r="D329" s="259">
        <f>30000+21000</f>
        <v>51000</v>
      </c>
      <c r="E329" s="233">
        <v>0</v>
      </c>
      <c r="F329" s="10"/>
      <c r="G329" s="126">
        <f t="shared" si="124"/>
        <v>0</v>
      </c>
      <c r="H329" s="126">
        <f t="shared" si="119"/>
        <v>0</v>
      </c>
      <c r="I329" s="126">
        <v>0</v>
      </c>
      <c r="J329" s="14">
        <v>0</v>
      </c>
    </row>
    <row r="330" spans="1:10" s="3" customFormat="1" x14ac:dyDescent="0.2">
      <c r="A330" s="261" t="s">
        <v>472</v>
      </c>
      <c r="B330" s="260" t="s">
        <v>471</v>
      </c>
      <c r="C330" s="259">
        <v>400000</v>
      </c>
      <c r="D330" s="259">
        <f>400000-15000-21000</f>
        <v>364000</v>
      </c>
      <c r="E330" s="233">
        <v>25000</v>
      </c>
      <c r="F330" s="10"/>
      <c r="G330" s="126">
        <f t="shared" si="124"/>
        <v>6.25</v>
      </c>
      <c r="H330" s="126">
        <f>E330/D330*100</f>
        <v>6.8681318681318686</v>
      </c>
      <c r="I330" s="126">
        <v>0</v>
      </c>
      <c r="J330" s="14">
        <v>0</v>
      </c>
    </row>
    <row r="331" spans="1:10" s="3" customFormat="1" x14ac:dyDescent="0.2">
      <c r="A331" s="261" t="s">
        <v>470</v>
      </c>
      <c r="B331" s="260" t="s">
        <v>469</v>
      </c>
      <c r="C331" s="262">
        <v>50000</v>
      </c>
      <c r="D331" s="262">
        <v>50000</v>
      </c>
      <c r="E331" s="233">
        <v>0</v>
      </c>
      <c r="F331" s="10"/>
      <c r="G331" s="126">
        <f t="shared" si="124"/>
        <v>0</v>
      </c>
      <c r="H331" s="126">
        <f>E331/D331*100</f>
        <v>0</v>
      </c>
      <c r="I331" s="126">
        <v>0</v>
      </c>
      <c r="J331" s="14">
        <v>0</v>
      </c>
    </row>
    <row r="332" spans="1:10" s="3" customFormat="1" ht="13.5" thickBot="1" x14ac:dyDescent="0.25">
      <c r="A332" s="261" t="s">
        <v>952</v>
      </c>
      <c r="B332" s="260" t="s">
        <v>467</v>
      </c>
      <c r="C332" s="259">
        <v>100000</v>
      </c>
      <c r="D332" s="259">
        <f>100000+15000</f>
        <v>115000</v>
      </c>
      <c r="E332" s="233">
        <v>0</v>
      </c>
      <c r="F332" s="10"/>
      <c r="G332" s="126">
        <f t="shared" si="124"/>
        <v>0</v>
      </c>
      <c r="H332" s="126">
        <f>E332/D332*100</f>
        <v>0</v>
      </c>
      <c r="I332" s="126">
        <v>0</v>
      </c>
      <c r="J332" s="14">
        <v>0</v>
      </c>
    </row>
    <row r="333" spans="1:10" ht="16.5" thickBot="1" x14ac:dyDescent="0.3">
      <c r="A333" s="267"/>
      <c r="B333" s="266" t="s">
        <v>466</v>
      </c>
      <c r="C333" s="265">
        <f>SUM(C334+C351+C379)</f>
        <v>38460500</v>
      </c>
      <c r="D333" s="265">
        <f>SUM(D334+D351+D379)</f>
        <v>38030000</v>
      </c>
      <c r="E333" s="43">
        <v>1276443.27</v>
      </c>
      <c r="F333" s="707">
        <f>SUM(E334,E351,E379)</f>
        <v>1276443.27</v>
      </c>
      <c r="G333" s="479">
        <f>E333/C333*100</f>
        <v>3.3188421107369899</v>
      </c>
      <c r="H333" s="479">
        <f t="shared" ref="H333:H382" si="126">E333/D333*100</f>
        <v>3.3564114383381543</v>
      </c>
      <c r="I333" s="479">
        <f t="shared" ref="I333:I335" si="127">E333/J333*100</f>
        <v>218.21658099169611</v>
      </c>
      <c r="J333" s="14">
        <v>584943.30000000005</v>
      </c>
    </row>
    <row r="334" spans="1:10" x14ac:dyDescent="0.2">
      <c r="A334" s="275">
        <v>2212</v>
      </c>
      <c r="B334" s="274" t="s">
        <v>465</v>
      </c>
      <c r="C334" s="273">
        <f>SUM(C335:C350)</f>
        <v>14360000</v>
      </c>
      <c r="D334" s="273">
        <f>SUM(D335:D350)</f>
        <v>14190000</v>
      </c>
      <c r="E334" s="241">
        <v>122869.82</v>
      </c>
      <c r="F334" s="9">
        <f>SUM(E335:E350)</f>
        <v>122869.82</v>
      </c>
      <c r="G334" s="120">
        <f>E334/C334*100</f>
        <v>0.85563941504178276</v>
      </c>
      <c r="H334" s="120">
        <f>E334/D334*100</f>
        <v>0.86589020436927422</v>
      </c>
      <c r="I334" s="121">
        <f t="shared" si="127"/>
        <v>55.08437062192484</v>
      </c>
      <c r="J334" s="14">
        <v>223057.5</v>
      </c>
    </row>
    <row r="335" spans="1:10" x14ac:dyDescent="0.2">
      <c r="A335" s="261" t="s">
        <v>464</v>
      </c>
      <c r="B335" s="260" t="s">
        <v>789</v>
      </c>
      <c r="C335" s="259">
        <v>250000</v>
      </c>
      <c r="D335" s="259">
        <v>250000</v>
      </c>
      <c r="E335" s="233">
        <v>53600</v>
      </c>
      <c r="F335" s="10">
        <f>E334-F334</f>
        <v>0</v>
      </c>
      <c r="G335" s="126">
        <f t="shared" ref="G335:G384" si="128">E335/C335*100</f>
        <v>21.44</v>
      </c>
      <c r="H335" s="126">
        <f t="shared" si="126"/>
        <v>21.44</v>
      </c>
      <c r="I335" s="130">
        <f t="shared" si="127"/>
        <v>181.87987784187308</v>
      </c>
      <c r="J335" s="14">
        <v>29470</v>
      </c>
    </row>
    <row r="336" spans="1:10" x14ac:dyDescent="0.2">
      <c r="A336" s="261" t="s">
        <v>463</v>
      </c>
      <c r="B336" s="260" t="s">
        <v>462</v>
      </c>
      <c r="C336" s="259">
        <v>5000000</v>
      </c>
      <c r="D336" s="259">
        <f>5000000</f>
        <v>5000000</v>
      </c>
      <c r="E336" s="233">
        <v>0</v>
      </c>
      <c r="F336" s="10"/>
      <c r="G336" s="126">
        <f t="shared" si="128"/>
        <v>0</v>
      </c>
      <c r="H336" s="126">
        <f t="shared" si="126"/>
        <v>0</v>
      </c>
      <c r="I336" s="126">
        <v>0</v>
      </c>
      <c r="J336" s="14">
        <v>0</v>
      </c>
    </row>
    <row r="337" spans="1:10" x14ac:dyDescent="0.2">
      <c r="A337" s="261" t="s">
        <v>461</v>
      </c>
      <c r="B337" s="260" t="s">
        <v>460</v>
      </c>
      <c r="C337" s="259">
        <v>700000</v>
      </c>
      <c r="D337" s="259">
        <v>700000</v>
      </c>
      <c r="E337" s="233">
        <v>0</v>
      </c>
      <c r="F337" s="10"/>
      <c r="G337" s="126">
        <f t="shared" si="128"/>
        <v>0</v>
      </c>
      <c r="H337" s="126">
        <f t="shared" si="126"/>
        <v>0</v>
      </c>
      <c r="I337" s="126">
        <v>0</v>
      </c>
      <c r="J337" s="14">
        <v>0</v>
      </c>
    </row>
    <row r="338" spans="1:10" x14ac:dyDescent="0.2">
      <c r="A338" s="261" t="s">
        <v>459</v>
      </c>
      <c r="B338" s="260" t="s">
        <v>458</v>
      </c>
      <c r="C338" s="259">
        <v>2300000</v>
      </c>
      <c r="D338" s="259">
        <v>2300000</v>
      </c>
      <c r="E338" s="233">
        <v>0</v>
      </c>
      <c r="F338" s="10"/>
      <c r="G338" s="126">
        <f t="shared" si="128"/>
        <v>0</v>
      </c>
      <c r="H338" s="126">
        <f t="shared" si="126"/>
        <v>0</v>
      </c>
      <c r="I338" s="126">
        <v>0</v>
      </c>
      <c r="J338" s="14">
        <v>0</v>
      </c>
    </row>
    <row r="339" spans="1:10" x14ac:dyDescent="0.2">
      <c r="A339" s="261" t="s">
        <v>457</v>
      </c>
      <c r="B339" s="260" t="s">
        <v>456</v>
      </c>
      <c r="C339" s="259">
        <v>1500000</v>
      </c>
      <c r="D339" s="259">
        <v>1500000</v>
      </c>
      <c r="E339" s="233">
        <v>0</v>
      </c>
      <c r="F339" s="10"/>
      <c r="G339" s="126">
        <f t="shared" si="128"/>
        <v>0</v>
      </c>
      <c r="H339" s="126">
        <f t="shared" si="126"/>
        <v>0</v>
      </c>
      <c r="I339" s="126">
        <f t="shared" ref="I339:I344" si="129">E339/J339*100</f>
        <v>0</v>
      </c>
      <c r="J339" s="14">
        <v>20449</v>
      </c>
    </row>
    <row r="340" spans="1:10" x14ac:dyDescent="0.2">
      <c r="A340" s="261" t="s">
        <v>451</v>
      </c>
      <c r="B340" s="260" t="s">
        <v>450</v>
      </c>
      <c r="C340" s="259">
        <v>1400000</v>
      </c>
      <c r="D340" s="259">
        <v>1400000</v>
      </c>
      <c r="E340" s="233">
        <v>0</v>
      </c>
      <c r="F340" s="10"/>
      <c r="G340" s="126">
        <f>E340/C340*100</f>
        <v>0</v>
      </c>
      <c r="H340" s="126">
        <f>E340/D340*100</f>
        <v>0</v>
      </c>
      <c r="I340" s="126">
        <f>E340/J340*100</f>
        <v>0</v>
      </c>
      <c r="J340" s="14">
        <v>13068</v>
      </c>
    </row>
    <row r="341" spans="1:10" x14ac:dyDescent="0.2">
      <c r="A341" s="261" t="s">
        <v>954</v>
      </c>
      <c r="B341" s="260" t="s">
        <v>438</v>
      </c>
      <c r="C341" s="259">
        <v>400000</v>
      </c>
      <c r="D341" s="259">
        <v>400000</v>
      </c>
      <c r="E341" s="487">
        <v>0</v>
      </c>
      <c r="F341" s="489"/>
      <c r="G341" s="126">
        <f>E341/C341*100</f>
        <v>0</v>
      </c>
      <c r="H341" s="126">
        <f>E341/D341*100</f>
        <v>0</v>
      </c>
      <c r="I341" s="126">
        <v>0</v>
      </c>
      <c r="J341" s="14">
        <v>0</v>
      </c>
    </row>
    <row r="342" spans="1:10" x14ac:dyDescent="0.2">
      <c r="A342" s="261" t="s">
        <v>955</v>
      </c>
      <c r="B342" s="260" t="s">
        <v>436</v>
      </c>
      <c r="C342" s="259">
        <v>100000</v>
      </c>
      <c r="D342" s="259">
        <v>100000</v>
      </c>
      <c r="E342" s="233">
        <v>42350</v>
      </c>
      <c r="F342" s="10"/>
      <c r="G342" s="126">
        <f>E342/C342*100</f>
        <v>42.35</v>
      </c>
      <c r="H342" s="126">
        <f>E342/D342*100</f>
        <v>42.35</v>
      </c>
      <c r="I342" s="126">
        <f>E342/J342*100</f>
        <v>23.38333372903713</v>
      </c>
      <c r="J342" s="14">
        <v>181111.9</v>
      </c>
    </row>
    <row r="343" spans="1:10" x14ac:dyDescent="0.2">
      <c r="A343" s="261" t="s">
        <v>449</v>
      </c>
      <c r="B343" s="260" t="s">
        <v>448</v>
      </c>
      <c r="C343" s="259">
        <f>350000+300000</f>
        <v>650000</v>
      </c>
      <c r="D343" s="259">
        <f>350000+300000</f>
        <v>650000</v>
      </c>
      <c r="E343" s="233">
        <v>22919.82</v>
      </c>
      <c r="F343" s="10"/>
      <c r="G343" s="126">
        <f>E343/C343*100</f>
        <v>3.5261261538461541</v>
      </c>
      <c r="H343" s="126">
        <f>E343/D343*100</f>
        <v>3.5261261538461541</v>
      </c>
      <c r="I343" s="126">
        <v>0</v>
      </c>
      <c r="J343" s="14">
        <v>0</v>
      </c>
    </row>
    <row r="344" spans="1:10" x14ac:dyDescent="0.2">
      <c r="A344" s="261" t="s">
        <v>455</v>
      </c>
      <c r="B344" s="260" t="s">
        <v>454</v>
      </c>
      <c r="C344" s="259">
        <v>170000</v>
      </c>
      <c r="D344" s="259">
        <f>170000-170000</f>
        <v>0</v>
      </c>
      <c r="E344" s="233">
        <v>0</v>
      </c>
      <c r="F344" s="10"/>
      <c r="G344" s="126">
        <f t="shared" si="128"/>
        <v>0</v>
      </c>
      <c r="H344" s="126">
        <v>0</v>
      </c>
      <c r="I344" s="126">
        <f t="shared" si="129"/>
        <v>0</v>
      </c>
      <c r="J344" s="14">
        <v>44770</v>
      </c>
    </row>
    <row r="345" spans="1:10" x14ac:dyDescent="0.2">
      <c r="A345" s="261" t="s">
        <v>453</v>
      </c>
      <c r="B345" s="260" t="s">
        <v>452</v>
      </c>
      <c r="C345" s="259">
        <v>200000</v>
      </c>
      <c r="D345" s="259">
        <v>200000</v>
      </c>
      <c r="E345" s="233">
        <v>0</v>
      </c>
      <c r="F345" s="10"/>
      <c r="G345" s="126">
        <f t="shared" si="128"/>
        <v>0</v>
      </c>
      <c r="H345" s="126">
        <f t="shared" si="126"/>
        <v>0</v>
      </c>
      <c r="I345" s="126">
        <v>0</v>
      </c>
      <c r="J345" s="14">
        <v>0</v>
      </c>
    </row>
    <row r="346" spans="1:10" x14ac:dyDescent="0.2">
      <c r="A346" s="261" t="s">
        <v>445</v>
      </c>
      <c r="B346" s="260" t="s">
        <v>444</v>
      </c>
      <c r="C346" s="259">
        <v>90000</v>
      </c>
      <c r="D346" s="259">
        <v>90000</v>
      </c>
      <c r="E346" s="233">
        <v>0</v>
      </c>
      <c r="F346" s="10"/>
      <c r="G346" s="126">
        <f t="shared" si="128"/>
        <v>0</v>
      </c>
      <c r="H346" s="126">
        <f t="shared" si="126"/>
        <v>0</v>
      </c>
      <c r="I346" s="126">
        <v>0</v>
      </c>
      <c r="J346" s="14">
        <v>0</v>
      </c>
    </row>
    <row r="347" spans="1:10" x14ac:dyDescent="0.2">
      <c r="A347" s="261" t="s">
        <v>443</v>
      </c>
      <c r="B347" s="260" t="s">
        <v>442</v>
      </c>
      <c r="C347" s="259">
        <v>350000</v>
      </c>
      <c r="D347" s="259">
        <v>350000</v>
      </c>
      <c r="E347" s="233">
        <v>0</v>
      </c>
      <c r="F347" s="10"/>
      <c r="G347" s="126">
        <f t="shared" si="128"/>
        <v>0</v>
      </c>
      <c r="H347" s="126">
        <f t="shared" si="126"/>
        <v>0</v>
      </c>
      <c r="I347" s="126">
        <v>0</v>
      </c>
      <c r="J347" s="14">
        <v>0</v>
      </c>
    </row>
    <row r="348" spans="1:10" x14ac:dyDescent="0.2">
      <c r="A348" s="261" t="s">
        <v>953</v>
      </c>
      <c r="B348" s="260" t="s">
        <v>439</v>
      </c>
      <c r="C348" s="259">
        <v>100000</v>
      </c>
      <c r="D348" s="259">
        <v>100000</v>
      </c>
      <c r="E348" s="541">
        <v>0</v>
      </c>
      <c r="F348" s="11"/>
      <c r="G348" s="126">
        <f>E348/C348*100</f>
        <v>0</v>
      </c>
      <c r="H348" s="126">
        <f>E348/D348*100</f>
        <v>0</v>
      </c>
      <c r="I348" s="126">
        <v>0</v>
      </c>
      <c r="J348" s="14">
        <v>0</v>
      </c>
    </row>
    <row r="349" spans="1:10" x14ac:dyDescent="0.2">
      <c r="A349" s="261" t="s">
        <v>447</v>
      </c>
      <c r="B349" s="260" t="s">
        <v>446</v>
      </c>
      <c r="C349" s="259">
        <v>650000</v>
      </c>
      <c r="D349" s="259">
        <v>650000</v>
      </c>
      <c r="E349" s="233">
        <v>4000</v>
      </c>
      <c r="F349" s="10"/>
      <c r="G349" s="126">
        <f>E349/C349*100</f>
        <v>0.61538461538461542</v>
      </c>
      <c r="H349" s="126">
        <f>E349/D349*100</f>
        <v>0.61538461538461542</v>
      </c>
      <c r="I349" s="126">
        <f>E349/J349*100</f>
        <v>7.1322224896805659</v>
      </c>
      <c r="J349" s="14">
        <v>56083.5</v>
      </c>
    </row>
    <row r="350" spans="1:10" x14ac:dyDescent="0.2">
      <c r="A350" s="261" t="s">
        <v>441</v>
      </c>
      <c r="B350" s="260" t="s">
        <v>440</v>
      </c>
      <c r="C350" s="272">
        <v>500000</v>
      </c>
      <c r="D350" s="272">
        <v>500000</v>
      </c>
      <c r="E350" s="233">
        <v>0</v>
      </c>
      <c r="F350" s="10"/>
      <c r="G350" s="126">
        <f t="shared" si="128"/>
        <v>0</v>
      </c>
      <c r="H350" s="126">
        <f t="shared" si="126"/>
        <v>0</v>
      </c>
      <c r="I350" s="126">
        <v>0</v>
      </c>
      <c r="J350" s="14">
        <v>0</v>
      </c>
    </row>
    <row r="351" spans="1:10" x14ac:dyDescent="0.2">
      <c r="A351" s="271">
        <v>2219</v>
      </c>
      <c r="B351" s="270" t="s">
        <v>435</v>
      </c>
      <c r="C351" s="269">
        <f>SUM(C352:C378)</f>
        <v>24040500</v>
      </c>
      <c r="D351" s="269">
        <f>SUM(D352:D378)</f>
        <v>23780000</v>
      </c>
      <c r="E351" s="482">
        <v>1153573.45</v>
      </c>
      <c r="F351" s="104">
        <f>SUM(E352:E378)</f>
        <v>1153573.45</v>
      </c>
      <c r="G351" s="120">
        <f t="shared" si="128"/>
        <v>4.7984586427070983</v>
      </c>
      <c r="H351" s="121">
        <f t="shared" si="126"/>
        <v>4.8510237594617323</v>
      </c>
      <c r="I351" s="120">
        <f>E351/J351*100</f>
        <v>332.55136128374238</v>
      </c>
      <c r="J351" s="14">
        <v>346885.8</v>
      </c>
    </row>
    <row r="352" spans="1:10" x14ac:dyDescent="0.2">
      <c r="A352" s="279" t="s">
        <v>434</v>
      </c>
      <c r="B352" s="278" t="s">
        <v>788</v>
      </c>
      <c r="C352" s="259">
        <v>200000</v>
      </c>
      <c r="D352" s="259">
        <f>200000-82280</f>
        <v>117720</v>
      </c>
      <c r="E352" s="11">
        <v>18094</v>
      </c>
      <c r="F352" s="490"/>
      <c r="G352" s="126">
        <f t="shared" si="128"/>
        <v>9.0469999999999988</v>
      </c>
      <c r="H352" s="117">
        <f t="shared" si="126"/>
        <v>15.37037037037037</v>
      </c>
      <c r="I352" s="151">
        <f>E352/J352*100</f>
        <v>118.32330630394978</v>
      </c>
      <c r="J352" s="14">
        <v>15292</v>
      </c>
    </row>
    <row r="353" spans="1:10" x14ac:dyDescent="0.2">
      <c r="A353" s="261" t="s">
        <v>433</v>
      </c>
      <c r="B353" s="260" t="s">
        <v>432</v>
      </c>
      <c r="C353" s="259">
        <v>3000000</v>
      </c>
      <c r="D353" s="259">
        <f>3000000-450000</f>
        <v>2550000</v>
      </c>
      <c r="E353" s="10">
        <v>304511.45</v>
      </c>
      <c r="F353" s="10"/>
      <c r="G353" s="130">
        <f t="shared" si="128"/>
        <v>10.150381666666668</v>
      </c>
      <c r="H353" s="130">
        <f>E353/D353*100</f>
        <v>11.941625490196078</v>
      </c>
      <c r="I353" s="130">
        <v>0</v>
      </c>
      <c r="J353" s="14">
        <v>0</v>
      </c>
    </row>
    <row r="354" spans="1:10" x14ac:dyDescent="0.2">
      <c r="A354" s="261" t="s">
        <v>431</v>
      </c>
      <c r="B354" s="260" t="s">
        <v>430</v>
      </c>
      <c r="C354" s="259">
        <v>200000</v>
      </c>
      <c r="D354" s="259">
        <v>200000</v>
      </c>
      <c r="E354" s="9">
        <v>0</v>
      </c>
      <c r="F354" s="9"/>
      <c r="G354" s="126">
        <f t="shared" si="128"/>
        <v>0</v>
      </c>
      <c r="H354" s="126">
        <f t="shared" si="126"/>
        <v>0</v>
      </c>
      <c r="I354" s="126">
        <v>0</v>
      </c>
      <c r="J354" s="14">
        <v>0</v>
      </c>
    </row>
    <row r="355" spans="1:10" x14ac:dyDescent="0.2">
      <c r="A355" s="261" t="s">
        <v>421</v>
      </c>
      <c r="B355" s="260" t="s">
        <v>420</v>
      </c>
      <c r="C355" s="259">
        <v>50000</v>
      </c>
      <c r="D355" s="259">
        <v>50000</v>
      </c>
      <c r="E355" s="10">
        <v>48000</v>
      </c>
      <c r="F355" s="10"/>
      <c r="G355" s="126">
        <f>E355/C355*100</f>
        <v>96</v>
      </c>
      <c r="H355" s="126">
        <f>E355/D355*100</f>
        <v>96</v>
      </c>
      <c r="I355" s="130">
        <v>0</v>
      </c>
      <c r="J355" s="6">
        <v>0</v>
      </c>
    </row>
    <row r="356" spans="1:10" x14ac:dyDescent="0.2">
      <c r="A356" s="261" t="s">
        <v>417</v>
      </c>
      <c r="B356" s="260" t="s">
        <v>416</v>
      </c>
      <c r="C356" s="259">
        <v>160500</v>
      </c>
      <c r="D356" s="259">
        <f>160500-160500</f>
        <v>0</v>
      </c>
      <c r="E356" s="10">
        <v>0</v>
      </c>
      <c r="F356" s="10"/>
      <c r="G356" s="126">
        <f>E356/C356*100</f>
        <v>0</v>
      </c>
      <c r="H356" s="126">
        <v>0</v>
      </c>
      <c r="I356" s="126">
        <f>E356/J356*100</f>
        <v>0</v>
      </c>
      <c r="J356" s="14">
        <v>169642</v>
      </c>
    </row>
    <row r="357" spans="1:10" x14ac:dyDescent="0.2">
      <c r="A357" s="261" t="s">
        <v>409</v>
      </c>
      <c r="B357" s="260" t="s">
        <v>408</v>
      </c>
      <c r="C357" s="259">
        <v>1500000</v>
      </c>
      <c r="D357" s="259">
        <f>1500000-215890-162803</f>
        <v>1121307</v>
      </c>
      <c r="E357" s="10">
        <v>0</v>
      </c>
      <c r="F357" s="10"/>
      <c r="G357" s="126">
        <f>E357/C357*100</f>
        <v>0</v>
      </c>
      <c r="H357" s="126">
        <f>E357/D357*100</f>
        <v>0</v>
      </c>
      <c r="I357" s="126">
        <f>E357/J357*100</f>
        <v>0</v>
      </c>
      <c r="J357" s="14">
        <v>16093</v>
      </c>
    </row>
    <row r="358" spans="1:10" x14ac:dyDescent="0.2">
      <c r="A358" s="261" t="s">
        <v>429</v>
      </c>
      <c r="B358" s="260" t="s">
        <v>428</v>
      </c>
      <c r="C358" s="259">
        <v>8650000</v>
      </c>
      <c r="D358" s="259">
        <v>8650000</v>
      </c>
      <c r="E358" s="10">
        <v>577968</v>
      </c>
      <c r="F358" s="10"/>
      <c r="G358" s="126">
        <f t="shared" si="128"/>
        <v>6.6817109826589602</v>
      </c>
      <c r="H358" s="126">
        <f t="shared" si="126"/>
        <v>6.6817109826589602</v>
      </c>
      <c r="I358" s="130">
        <f t="shared" ref="I358" si="130">E358/J358*100</f>
        <v>5970.7438016528922</v>
      </c>
      <c r="J358" s="14">
        <v>9680</v>
      </c>
    </row>
    <row r="359" spans="1:10" x14ac:dyDescent="0.2">
      <c r="A359" s="261" t="s">
        <v>899</v>
      </c>
      <c r="B359" s="260" t="s">
        <v>403</v>
      </c>
      <c r="C359" s="259">
        <v>500000</v>
      </c>
      <c r="D359" s="259">
        <f>500000+162803</f>
        <v>662803</v>
      </c>
      <c r="E359" s="10">
        <v>10700</v>
      </c>
      <c r="F359" s="10"/>
      <c r="G359" s="126">
        <f>E359/C359*100</f>
        <v>2.1399999999999997</v>
      </c>
      <c r="H359" s="126">
        <f>E359/D359*100</f>
        <v>1.6143560001991544</v>
      </c>
      <c r="I359" s="126">
        <v>0</v>
      </c>
      <c r="J359" s="14">
        <v>0</v>
      </c>
    </row>
    <row r="360" spans="1:10" x14ac:dyDescent="0.2">
      <c r="A360" s="261" t="s">
        <v>425</v>
      </c>
      <c r="B360" s="260" t="s">
        <v>424</v>
      </c>
      <c r="C360" s="259">
        <v>50000</v>
      </c>
      <c r="D360" s="259">
        <v>50000</v>
      </c>
      <c r="E360" s="10">
        <v>0</v>
      </c>
      <c r="F360" s="10"/>
      <c r="G360" s="126">
        <f t="shared" si="128"/>
        <v>0</v>
      </c>
      <c r="H360" s="126">
        <f t="shared" si="126"/>
        <v>0</v>
      </c>
      <c r="I360" s="130">
        <v>0</v>
      </c>
      <c r="J360" s="201">
        <v>0</v>
      </c>
    </row>
    <row r="361" spans="1:10" x14ac:dyDescent="0.2">
      <c r="A361" s="261" t="s">
        <v>427</v>
      </c>
      <c r="B361" s="260" t="s">
        <v>426</v>
      </c>
      <c r="C361" s="259">
        <v>300000</v>
      </c>
      <c r="D361" s="259">
        <v>300000</v>
      </c>
      <c r="E361" s="10">
        <v>0</v>
      </c>
      <c r="F361" s="10"/>
      <c r="G361" s="126">
        <f>E361/C361*100</f>
        <v>0</v>
      </c>
      <c r="H361" s="126">
        <f>E361/D361*100</f>
        <v>0</v>
      </c>
      <c r="I361" s="130">
        <v>0</v>
      </c>
      <c r="J361" s="14">
        <v>0</v>
      </c>
    </row>
    <row r="362" spans="1:10" x14ac:dyDescent="0.2">
      <c r="A362" s="261" t="s">
        <v>407</v>
      </c>
      <c r="B362" s="260" t="s">
        <v>406</v>
      </c>
      <c r="C362" s="259">
        <v>200000</v>
      </c>
      <c r="D362" s="259">
        <v>200000</v>
      </c>
      <c r="E362" s="10">
        <v>0</v>
      </c>
      <c r="F362" s="10"/>
      <c r="G362" s="126">
        <f>E362/C362*100</f>
        <v>0</v>
      </c>
      <c r="H362" s="126">
        <f>E362/D362*100</f>
        <v>0</v>
      </c>
      <c r="I362" s="126">
        <f t="shared" ref="I362" si="131">E362/J362*100</f>
        <v>0</v>
      </c>
      <c r="J362" s="14">
        <v>116498.8</v>
      </c>
    </row>
    <row r="363" spans="1:10" x14ac:dyDescent="0.2">
      <c r="A363" s="261" t="s">
        <v>423</v>
      </c>
      <c r="B363" s="260" t="s">
        <v>422</v>
      </c>
      <c r="C363" s="259">
        <v>150000</v>
      </c>
      <c r="D363" s="259">
        <v>150000</v>
      </c>
      <c r="E363" s="10">
        <v>0</v>
      </c>
      <c r="F363" s="10"/>
      <c r="G363" s="126">
        <f t="shared" si="128"/>
        <v>0</v>
      </c>
      <c r="H363" s="126">
        <f t="shared" si="126"/>
        <v>0</v>
      </c>
      <c r="I363" s="130">
        <v>0</v>
      </c>
      <c r="J363" s="14">
        <v>0</v>
      </c>
    </row>
    <row r="364" spans="1:10" x14ac:dyDescent="0.2">
      <c r="A364" s="261" t="s">
        <v>415</v>
      </c>
      <c r="B364" s="260" t="s">
        <v>414</v>
      </c>
      <c r="C364" s="259">
        <v>5400000</v>
      </c>
      <c r="D364" s="259">
        <f>5400000+450000</f>
        <v>5850000</v>
      </c>
      <c r="E364" s="10">
        <v>6050</v>
      </c>
      <c r="F364" s="10"/>
      <c r="G364" s="126">
        <f t="shared" si="128"/>
        <v>0.11203703703703703</v>
      </c>
      <c r="H364" s="126">
        <f>E364/D364*100</f>
        <v>0.10341880341880343</v>
      </c>
      <c r="I364" s="126">
        <v>0</v>
      </c>
      <c r="J364" s="14">
        <v>0</v>
      </c>
    </row>
    <row r="365" spans="1:10" x14ac:dyDescent="0.2">
      <c r="A365" s="261" t="s">
        <v>411</v>
      </c>
      <c r="B365" s="260" t="s">
        <v>410</v>
      </c>
      <c r="C365" s="259">
        <v>550000</v>
      </c>
      <c r="D365" s="259">
        <v>550000</v>
      </c>
      <c r="E365" s="10">
        <v>4000</v>
      </c>
      <c r="F365" s="10"/>
      <c r="G365" s="126">
        <f t="shared" si="128"/>
        <v>0.72727272727272729</v>
      </c>
      <c r="H365" s="126">
        <f t="shared" si="126"/>
        <v>0.72727272727272729</v>
      </c>
      <c r="I365" s="126">
        <v>0</v>
      </c>
      <c r="J365" s="14">
        <v>0</v>
      </c>
    </row>
    <row r="366" spans="1:10" x14ac:dyDescent="0.2">
      <c r="A366" s="261" t="s">
        <v>405</v>
      </c>
      <c r="B366" s="260" t="s">
        <v>404</v>
      </c>
      <c r="C366" s="259">
        <v>130000</v>
      </c>
      <c r="D366" s="259">
        <v>130000</v>
      </c>
      <c r="E366" s="10">
        <v>12000</v>
      </c>
      <c r="F366" s="10"/>
      <c r="G366" s="126">
        <f t="shared" si="128"/>
        <v>9.2307692307692317</v>
      </c>
      <c r="H366" s="126">
        <f t="shared" ref="H366:H368" si="132">E366/D366*100</f>
        <v>9.2307692307692317</v>
      </c>
      <c r="I366" s="126">
        <v>0</v>
      </c>
      <c r="J366" s="14">
        <v>0</v>
      </c>
    </row>
    <row r="367" spans="1:10" x14ac:dyDescent="0.2">
      <c r="A367" s="261" t="s">
        <v>956</v>
      </c>
      <c r="B367" s="278" t="s">
        <v>402</v>
      </c>
      <c r="C367" s="272">
        <v>200000</v>
      </c>
      <c r="D367" s="272">
        <v>200000</v>
      </c>
      <c r="E367" s="10">
        <v>49485</v>
      </c>
      <c r="F367" s="10"/>
      <c r="G367" s="126">
        <f t="shared" si="128"/>
        <v>24.7425</v>
      </c>
      <c r="H367" s="126">
        <f t="shared" si="132"/>
        <v>24.7425</v>
      </c>
      <c r="I367" s="126">
        <v>0</v>
      </c>
      <c r="J367" s="14">
        <v>0</v>
      </c>
    </row>
    <row r="368" spans="1:10" x14ac:dyDescent="0.2">
      <c r="A368" s="261" t="s">
        <v>900</v>
      </c>
      <c r="B368" s="278" t="s">
        <v>401</v>
      </c>
      <c r="C368" s="259">
        <v>100000</v>
      </c>
      <c r="D368" s="259">
        <f>100000+95430</f>
        <v>195430</v>
      </c>
      <c r="E368" s="10">
        <v>0</v>
      </c>
      <c r="F368" s="10"/>
      <c r="G368" s="126">
        <f t="shared" si="128"/>
        <v>0</v>
      </c>
      <c r="H368" s="126">
        <f t="shared" si="132"/>
        <v>0</v>
      </c>
      <c r="I368" s="126">
        <v>0</v>
      </c>
      <c r="J368" s="14">
        <v>0</v>
      </c>
    </row>
    <row r="369" spans="1:10" x14ac:dyDescent="0.2">
      <c r="A369" s="261" t="s">
        <v>903</v>
      </c>
      <c r="B369" s="278" t="s">
        <v>400</v>
      </c>
      <c r="C369" s="259">
        <v>100000</v>
      </c>
      <c r="D369" s="259">
        <f>100000+8029</f>
        <v>108029</v>
      </c>
      <c r="E369" s="10">
        <v>0</v>
      </c>
      <c r="F369" s="10"/>
      <c r="G369" s="126">
        <f t="shared" si="128"/>
        <v>0</v>
      </c>
      <c r="H369" s="126">
        <f t="shared" si="126"/>
        <v>0</v>
      </c>
      <c r="I369" s="126">
        <v>0</v>
      </c>
      <c r="J369" s="14">
        <v>0</v>
      </c>
    </row>
    <row r="370" spans="1:10" x14ac:dyDescent="0.2">
      <c r="A370" s="261" t="s">
        <v>901</v>
      </c>
      <c r="B370" s="278" t="s">
        <v>399</v>
      </c>
      <c r="C370" s="259">
        <v>100000</v>
      </c>
      <c r="D370" s="259">
        <f>100000+80396</f>
        <v>180396</v>
      </c>
      <c r="E370" s="10">
        <v>0</v>
      </c>
      <c r="F370" s="10"/>
      <c r="G370" s="126">
        <f t="shared" si="128"/>
        <v>0</v>
      </c>
      <c r="H370" s="126">
        <f t="shared" si="126"/>
        <v>0</v>
      </c>
      <c r="I370" s="126">
        <v>0</v>
      </c>
      <c r="J370" s="14">
        <v>0</v>
      </c>
    </row>
    <row r="371" spans="1:10" x14ac:dyDescent="0.2">
      <c r="A371" s="261" t="s">
        <v>957</v>
      </c>
      <c r="B371" s="278" t="s">
        <v>398</v>
      </c>
      <c r="C371" s="259">
        <v>150000</v>
      </c>
      <c r="D371" s="259">
        <v>150000</v>
      </c>
      <c r="E371" s="10">
        <v>40485</v>
      </c>
      <c r="F371" s="10"/>
      <c r="G371" s="126">
        <f t="shared" si="128"/>
        <v>26.99</v>
      </c>
      <c r="H371" s="126">
        <f t="shared" si="126"/>
        <v>26.99</v>
      </c>
      <c r="I371" s="126">
        <v>0</v>
      </c>
      <c r="J371" s="14">
        <v>0</v>
      </c>
    </row>
    <row r="372" spans="1:10" x14ac:dyDescent="0.2">
      <c r="A372" s="261" t="s">
        <v>902</v>
      </c>
      <c r="B372" s="278" t="s">
        <v>396</v>
      </c>
      <c r="C372" s="259">
        <v>100000</v>
      </c>
      <c r="D372" s="259">
        <f>100000+32035</f>
        <v>132035</v>
      </c>
      <c r="E372" s="10">
        <v>0</v>
      </c>
      <c r="F372" s="10"/>
      <c r="G372" s="126">
        <f>E372/C372*100</f>
        <v>0</v>
      </c>
      <c r="H372" s="126">
        <f>E372/D372*100</f>
        <v>0</v>
      </c>
      <c r="I372" s="126">
        <v>0</v>
      </c>
      <c r="J372" s="14">
        <v>0</v>
      </c>
    </row>
    <row r="373" spans="1:10" x14ac:dyDescent="0.2">
      <c r="A373" s="261" t="s">
        <v>419</v>
      </c>
      <c r="B373" s="260" t="s">
        <v>418</v>
      </c>
      <c r="C373" s="259">
        <v>1200000</v>
      </c>
      <c r="D373" s="259">
        <v>1200000</v>
      </c>
      <c r="E373" s="10">
        <v>0</v>
      </c>
      <c r="F373" s="10"/>
      <c r="G373" s="126">
        <f>E373/C373*100</f>
        <v>0</v>
      </c>
      <c r="H373" s="126">
        <f>E373/D373*100</f>
        <v>0</v>
      </c>
      <c r="I373" s="126">
        <v>0</v>
      </c>
      <c r="J373" s="14">
        <v>0</v>
      </c>
    </row>
    <row r="374" spans="1:10" x14ac:dyDescent="0.2">
      <c r="A374" s="261" t="s">
        <v>891</v>
      </c>
      <c r="B374" s="278" t="s">
        <v>397</v>
      </c>
      <c r="C374" s="259">
        <v>100000</v>
      </c>
      <c r="D374" s="259">
        <f>100000-100000</f>
        <v>0</v>
      </c>
      <c r="E374" s="10">
        <v>0</v>
      </c>
      <c r="F374" s="10"/>
      <c r="G374" s="126">
        <f t="shared" si="128"/>
        <v>0</v>
      </c>
      <c r="H374" s="126">
        <v>0</v>
      </c>
      <c r="I374" s="126">
        <v>0</v>
      </c>
      <c r="J374" s="14">
        <v>0</v>
      </c>
    </row>
    <row r="375" spans="1:10" x14ac:dyDescent="0.2">
      <c r="A375" s="261" t="s">
        <v>413</v>
      </c>
      <c r="B375" s="260" t="s">
        <v>412</v>
      </c>
      <c r="C375" s="259">
        <v>100000</v>
      </c>
      <c r="D375" s="259">
        <v>100000</v>
      </c>
      <c r="E375" s="10">
        <v>0</v>
      </c>
      <c r="F375" s="10"/>
      <c r="G375" s="126">
        <f>E375/C375*100</f>
        <v>0</v>
      </c>
      <c r="H375" s="126">
        <f>E375/D375*100</f>
        <v>0</v>
      </c>
      <c r="I375" s="126">
        <v>0</v>
      </c>
      <c r="J375" s="14">
        <v>0</v>
      </c>
    </row>
    <row r="376" spans="1:10" x14ac:dyDescent="0.2">
      <c r="A376" s="261" t="s">
        <v>887</v>
      </c>
      <c r="B376" s="260" t="s">
        <v>888</v>
      </c>
      <c r="C376" s="259">
        <v>0</v>
      </c>
      <c r="D376" s="259">
        <v>82280</v>
      </c>
      <c r="E376" s="10">
        <v>82280</v>
      </c>
      <c r="F376" s="10"/>
      <c r="G376" s="126">
        <v>0</v>
      </c>
      <c r="H376" s="126">
        <f t="shared" ref="H376" si="133">E376/D376*100</f>
        <v>100</v>
      </c>
      <c r="I376" s="126">
        <v>0</v>
      </c>
      <c r="J376" s="14">
        <v>0</v>
      </c>
    </row>
    <row r="377" spans="1:10" x14ac:dyDescent="0.2">
      <c r="A377" s="261" t="s">
        <v>958</v>
      </c>
      <c r="B377" s="260" t="s">
        <v>790</v>
      </c>
      <c r="C377" s="259">
        <v>150000</v>
      </c>
      <c r="D377" s="259">
        <v>150000</v>
      </c>
      <c r="E377" s="10">
        <v>0</v>
      </c>
      <c r="F377" s="10"/>
      <c r="G377" s="126">
        <f t="shared" si="128"/>
        <v>0</v>
      </c>
      <c r="H377" s="126">
        <f t="shared" si="126"/>
        <v>0</v>
      </c>
      <c r="I377" s="126">
        <v>0</v>
      </c>
      <c r="J377" s="14">
        <v>0</v>
      </c>
    </row>
    <row r="378" spans="1:10" x14ac:dyDescent="0.2">
      <c r="A378" s="261" t="s">
        <v>959</v>
      </c>
      <c r="B378" s="260" t="s">
        <v>395</v>
      </c>
      <c r="C378" s="259">
        <v>700000</v>
      </c>
      <c r="D378" s="259">
        <v>700000</v>
      </c>
      <c r="E378" s="10">
        <v>0</v>
      </c>
      <c r="F378" s="10"/>
      <c r="G378" s="126">
        <f t="shared" si="128"/>
        <v>0</v>
      </c>
      <c r="H378" s="126">
        <f t="shared" si="126"/>
        <v>0</v>
      </c>
      <c r="I378" s="126">
        <v>0</v>
      </c>
      <c r="J378" s="14">
        <v>0</v>
      </c>
    </row>
    <row r="379" spans="1:10" x14ac:dyDescent="0.2">
      <c r="A379" s="271">
        <v>2221</v>
      </c>
      <c r="B379" s="270" t="s">
        <v>393</v>
      </c>
      <c r="C379" s="269">
        <f>SUM(C380:C380)</f>
        <v>60000</v>
      </c>
      <c r="D379" s="269">
        <f>SUM(D380:D380)</f>
        <v>60000</v>
      </c>
      <c r="E379" s="18">
        <v>0</v>
      </c>
      <c r="F379" s="10"/>
      <c r="G379" s="120">
        <f t="shared" si="128"/>
        <v>0</v>
      </c>
      <c r="H379" s="120">
        <f t="shared" si="126"/>
        <v>0</v>
      </c>
      <c r="I379" s="120">
        <f t="shared" ref="I379:I381" si="134">E379/J379*100</f>
        <v>0</v>
      </c>
      <c r="J379" s="14">
        <v>15000</v>
      </c>
    </row>
    <row r="380" spans="1:10" ht="13.5" thickBot="1" x14ac:dyDescent="0.25">
      <c r="A380" s="268" t="s">
        <v>960</v>
      </c>
      <c r="B380" s="257" t="s">
        <v>391</v>
      </c>
      <c r="C380" s="256">
        <v>60000</v>
      </c>
      <c r="D380" s="256">
        <v>60000</v>
      </c>
      <c r="E380" s="484">
        <v>0</v>
      </c>
      <c r="F380" s="253"/>
      <c r="G380" s="126">
        <f t="shared" si="128"/>
        <v>0</v>
      </c>
      <c r="H380" s="151">
        <f t="shared" si="126"/>
        <v>0</v>
      </c>
      <c r="I380" s="151">
        <v>0</v>
      </c>
      <c r="J380" s="14">
        <v>0</v>
      </c>
    </row>
    <row r="381" spans="1:10" ht="16.5" thickBot="1" x14ac:dyDescent="0.3">
      <c r="A381" s="267"/>
      <c r="B381" s="266" t="s">
        <v>390</v>
      </c>
      <c r="C381" s="265">
        <f>SUM(C382+C384)</f>
        <v>6295000</v>
      </c>
      <c r="D381" s="265">
        <f>SUM(D382+D384)</f>
        <v>5595000</v>
      </c>
      <c r="E381" s="542">
        <v>586434.25</v>
      </c>
      <c r="F381" s="708">
        <f>SUM(E382,E384)</f>
        <v>586434.25</v>
      </c>
      <c r="G381" s="479">
        <f>E381/C381*100</f>
        <v>9.3158737092930899</v>
      </c>
      <c r="H381" s="479">
        <f t="shared" si="126"/>
        <v>10.481398570151921</v>
      </c>
      <c r="I381" s="479">
        <f t="shared" si="134"/>
        <v>54.46150671180294</v>
      </c>
      <c r="J381" s="14">
        <v>1076786.68</v>
      </c>
    </row>
    <row r="382" spans="1:10" x14ac:dyDescent="0.2">
      <c r="A382" s="275">
        <v>3613</v>
      </c>
      <c r="B382" s="274" t="s">
        <v>389</v>
      </c>
      <c r="C382" s="273">
        <f>C383</f>
        <v>550000</v>
      </c>
      <c r="D382" s="273">
        <f>D383</f>
        <v>550000</v>
      </c>
      <c r="E382" s="353">
        <v>17600</v>
      </c>
      <c r="F382" s="717"/>
      <c r="G382" s="120">
        <f t="shared" si="128"/>
        <v>3.2</v>
      </c>
      <c r="H382" s="120">
        <f t="shared" si="126"/>
        <v>3.2</v>
      </c>
      <c r="I382" s="120">
        <f t="shared" ref="I382:I386" si="135">E382/J382*100</f>
        <v>220.00000000000003</v>
      </c>
      <c r="J382" s="14">
        <v>8000</v>
      </c>
    </row>
    <row r="383" spans="1:10" x14ac:dyDescent="0.2">
      <c r="A383" s="261" t="s">
        <v>388</v>
      </c>
      <c r="B383" s="260" t="s">
        <v>387</v>
      </c>
      <c r="C383" s="259">
        <v>550000</v>
      </c>
      <c r="D383" s="259">
        <v>550000</v>
      </c>
      <c r="E383" s="545">
        <v>17600</v>
      </c>
      <c r="F383" s="518"/>
      <c r="G383" s="126">
        <f t="shared" si="128"/>
        <v>3.2</v>
      </c>
      <c r="H383" s="126">
        <f>E383/D383*100</f>
        <v>3.2</v>
      </c>
      <c r="I383" s="126">
        <f t="shared" si="135"/>
        <v>220.00000000000003</v>
      </c>
      <c r="J383" s="14">
        <v>8000</v>
      </c>
    </row>
    <row r="384" spans="1:10" x14ac:dyDescent="0.2">
      <c r="A384" s="271">
        <v>3639</v>
      </c>
      <c r="B384" s="270" t="s">
        <v>386</v>
      </c>
      <c r="C384" s="269">
        <f>SUM(C385:C390)</f>
        <v>5745000</v>
      </c>
      <c r="D384" s="269">
        <f>SUM(D385:D390)</f>
        <v>5045000</v>
      </c>
      <c r="E384" s="254">
        <v>568834.25</v>
      </c>
      <c r="F384" s="519">
        <f>SUM(E385:E390)</f>
        <v>568834.25</v>
      </c>
      <c r="G384" s="120">
        <f t="shared" si="128"/>
        <v>9.9013794604003476</v>
      </c>
      <c r="H384" s="121">
        <f>E384/D384*100</f>
        <v>11.275208126858276</v>
      </c>
      <c r="I384" s="121">
        <f t="shared" si="135"/>
        <v>53.222430691220822</v>
      </c>
      <c r="J384" s="6">
        <v>1068786.68</v>
      </c>
    </row>
    <row r="385" spans="1:10" x14ac:dyDescent="0.2">
      <c r="A385" s="261" t="s">
        <v>385</v>
      </c>
      <c r="B385" s="260" t="s">
        <v>384</v>
      </c>
      <c r="C385" s="259">
        <v>650000</v>
      </c>
      <c r="D385" s="259">
        <v>650000</v>
      </c>
      <c r="E385" s="543">
        <v>0</v>
      </c>
      <c r="F385" s="544">
        <f>E384-F384</f>
        <v>0</v>
      </c>
      <c r="G385" s="126">
        <f t="shared" ref="G385:G390" si="136">E385/C385*100</f>
        <v>0</v>
      </c>
      <c r="H385" s="126">
        <f>E385/D385*100</f>
        <v>0</v>
      </c>
      <c r="I385" s="126">
        <v>0</v>
      </c>
      <c r="J385" s="6">
        <v>0</v>
      </c>
    </row>
    <row r="386" spans="1:10" x14ac:dyDescent="0.2">
      <c r="A386" s="261" t="s">
        <v>383</v>
      </c>
      <c r="B386" s="260" t="s">
        <v>382</v>
      </c>
      <c r="C386" s="259">
        <v>20000</v>
      </c>
      <c r="D386" s="259">
        <v>20000</v>
      </c>
      <c r="E386" s="545">
        <v>9688</v>
      </c>
      <c r="F386" s="519"/>
      <c r="G386" s="126">
        <f t="shared" si="136"/>
        <v>48.44</v>
      </c>
      <c r="H386" s="126">
        <f>E386/D386*100</f>
        <v>48.44</v>
      </c>
      <c r="I386" s="126">
        <f t="shared" si="135"/>
        <v>5153.1914893617022</v>
      </c>
      <c r="J386" s="14">
        <v>188</v>
      </c>
    </row>
    <row r="387" spans="1:10" x14ac:dyDescent="0.2">
      <c r="A387" s="261" t="s">
        <v>381</v>
      </c>
      <c r="B387" s="260" t="s">
        <v>980</v>
      </c>
      <c r="C387" s="259">
        <v>20000</v>
      </c>
      <c r="D387" s="259">
        <v>20000</v>
      </c>
      <c r="E387" s="546">
        <v>0</v>
      </c>
      <c r="F387" s="253"/>
      <c r="G387" s="126">
        <f t="shared" si="136"/>
        <v>0</v>
      </c>
      <c r="H387" s="126">
        <f>E387/D387*100</f>
        <v>0</v>
      </c>
      <c r="I387" s="126">
        <v>0</v>
      </c>
      <c r="J387" s="14">
        <v>0</v>
      </c>
    </row>
    <row r="388" spans="1:10" x14ac:dyDescent="0.2">
      <c r="A388" s="261" t="s">
        <v>379</v>
      </c>
      <c r="B388" s="260" t="s">
        <v>378</v>
      </c>
      <c r="C388" s="259">
        <v>470000</v>
      </c>
      <c r="D388" s="259">
        <v>470000</v>
      </c>
      <c r="E388" s="250">
        <v>12100</v>
      </c>
      <c r="F388" s="249"/>
      <c r="G388" s="126">
        <f t="shared" si="136"/>
        <v>2.5744680851063828</v>
      </c>
      <c r="H388" s="117"/>
      <c r="I388" s="117">
        <v>0</v>
      </c>
      <c r="J388" s="14">
        <v>0</v>
      </c>
    </row>
    <row r="389" spans="1:10" ht="48" x14ac:dyDescent="0.2">
      <c r="A389" s="261" t="s">
        <v>377</v>
      </c>
      <c r="B389" s="277" t="s">
        <v>376</v>
      </c>
      <c r="C389" s="259">
        <v>4540000</v>
      </c>
      <c r="D389" s="259">
        <f>4540000-700000</f>
        <v>3840000</v>
      </c>
      <c r="E389" s="209">
        <v>543693.25</v>
      </c>
      <c r="F389" s="209"/>
      <c r="G389" s="126">
        <f t="shared" si="136"/>
        <v>11.975622246696036</v>
      </c>
      <c r="H389" s="130">
        <f>E389/D389*100</f>
        <v>14.158678385416668</v>
      </c>
      <c r="I389" s="130">
        <f t="shared" ref="I389:I391" si="137">E389/J389*100</f>
        <v>50.949269678085464</v>
      </c>
      <c r="J389" s="6">
        <v>1067126.68</v>
      </c>
    </row>
    <row r="390" spans="1:10" ht="13.5" thickBot="1" x14ac:dyDescent="0.25">
      <c r="A390" s="261" t="s">
        <v>375</v>
      </c>
      <c r="B390" s="260" t="s">
        <v>374</v>
      </c>
      <c r="C390" s="259">
        <v>45000</v>
      </c>
      <c r="D390" s="259">
        <v>45000</v>
      </c>
      <c r="E390" s="492">
        <v>3353</v>
      </c>
      <c r="F390" s="493"/>
      <c r="G390" s="126">
        <f t="shared" si="136"/>
        <v>7.4511111111111115</v>
      </c>
      <c r="H390" s="126">
        <f>E390/D390*100</f>
        <v>7.4511111111111115</v>
      </c>
      <c r="I390" s="126">
        <f t="shared" si="137"/>
        <v>227.78532608695653</v>
      </c>
      <c r="J390" s="6">
        <v>1472</v>
      </c>
    </row>
    <row r="391" spans="1:10" ht="16.5" thickBot="1" x14ac:dyDescent="0.3">
      <c r="A391" s="267"/>
      <c r="B391" s="266" t="s">
        <v>373</v>
      </c>
      <c r="C391" s="276">
        <f>SUM(C392,C395,C399,C406)</f>
        <v>63726000</v>
      </c>
      <c r="D391" s="276">
        <f>SUM(D392,D395,D399,D406)</f>
        <v>48726000</v>
      </c>
      <c r="E391" s="43">
        <v>1284037.02</v>
      </c>
      <c r="F391" s="707">
        <f>SUM(E392,E395,E399,E406)</f>
        <v>1284037.02</v>
      </c>
      <c r="G391" s="479">
        <f>E391/C391*100</f>
        <v>2.0149342811411355</v>
      </c>
      <c r="H391" s="479">
        <f t="shared" ref="H391" si="138">E391/D391*100</f>
        <v>2.6352194311045438</v>
      </c>
      <c r="I391" s="479">
        <f t="shared" si="137"/>
        <v>391.93358614355708</v>
      </c>
      <c r="J391" s="14">
        <v>327615.96999999997</v>
      </c>
    </row>
    <row r="392" spans="1:10" x14ac:dyDescent="0.2">
      <c r="A392" s="275">
        <v>3412</v>
      </c>
      <c r="B392" s="274" t="s">
        <v>372</v>
      </c>
      <c r="C392" s="273">
        <f>SUM(C393:C394)</f>
        <v>2500000</v>
      </c>
      <c r="D392" s="273">
        <f>SUM(D393:D394)</f>
        <v>2500000</v>
      </c>
      <c r="E392" s="24">
        <v>0</v>
      </c>
      <c r="F392" s="9">
        <f>SUM(E393:E394)</f>
        <v>0</v>
      </c>
      <c r="G392" s="120">
        <f t="shared" ref="G392:G412" si="139">E392/C392*100</f>
        <v>0</v>
      </c>
      <c r="H392" s="120">
        <f>E392/D392*100</f>
        <v>0</v>
      </c>
      <c r="I392" s="120">
        <v>0</v>
      </c>
      <c r="J392" s="6">
        <v>0</v>
      </c>
    </row>
    <row r="393" spans="1:10" x14ac:dyDescent="0.2">
      <c r="A393" s="261" t="s">
        <v>961</v>
      </c>
      <c r="B393" s="260" t="s">
        <v>371</v>
      </c>
      <c r="C393" s="259">
        <v>500000</v>
      </c>
      <c r="D393" s="259">
        <v>500000</v>
      </c>
      <c r="E393" s="9">
        <v>0</v>
      </c>
      <c r="F393" s="9"/>
      <c r="G393" s="126">
        <f t="shared" si="139"/>
        <v>0</v>
      </c>
      <c r="H393" s="126">
        <f>E393/D393*100</f>
        <v>0</v>
      </c>
      <c r="I393" s="126">
        <v>0</v>
      </c>
      <c r="J393" s="14">
        <v>0</v>
      </c>
    </row>
    <row r="394" spans="1:10" x14ac:dyDescent="0.2">
      <c r="A394" s="261" t="s">
        <v>962</v>
      </c>
      <c r="B394" s="260" t="s">
        <v>369</v>
      </c>
      <c r="C394" s="259">
        <v>2000000</v>
      </c>
      <c r="D394" s="259">
        <v>2000000</v>
      </c>
      <c r="E394" s="10">
        <v>0</v>
      </c>
      <c r="F394" s="10"/>
      <c r="G394" s="126">
        <f t="shared" si="139"/>
        <v>0</v>
      </c>
      <c r="H394" s="126">
        <f>E394/D394*100</f>
        <v>0</v>
      </c>
      <c r="I394" s="126">
        <v>0</v>
      </c>
      <c r="J394" s="14">
        <v>0</v>
      </c>
    </row>
    <row r="395" spans="1:10" x14ac:dyDescent="0.2">
      <c r="A395" s="271">
        <v>3613</v>
      </c>
      <c r="B395" s="270" t="s">
        <v>368</v>
      </c>
      <c r="C395" s="269">
        <f>SUM(C396:C398)</f>
        <v>8010000</v>
      </c>
      <c r="D395" s="269">
        <f>SUM(D396:D398)</f>
        <v>2010000</v>
      </c>
      <c r="E395" s="18">
        <v>0</v>
      </c>
      <c r="F395" s="10">
        <f>SUM(E396:E398)</f>
        <v>0</v>
      </c>
      <c r="G395" s="120">
        <f t="shared" si="139"/>
        <v>0</v>
      </c>
      <c r="H395" s="120">
        <f t="shared" ref="H395:H399" si="140">E395/D395*100</f>
        <v>0</v>
      </c>
      <c r="I395" s="120">
        <f t="shared" ref="I395:I399" si="141">E395/J395*100</f>
        <v>0</v>
      </c>
      <c r="J395" s="14">
        <v>48400</v>
      </c>
    </row>
    <row r="396" spans="1:10" x14ac:dyDescent="0.2">
      <c r="A396" s="261" t="s">
        <v>367</v>
      </c>
      <c r="B396" s="260" t="s">
        <v>366</v>
      </c>
      <c r="C396" s="259">
        <v>200000</v>
      </c>
      <c r="D396" s="259">
        <v>200000</v>
      </c>
      <c r="E396" s="10">
        <v>0</v>
      </c>
      <c r="F396" s="10"/>
      <c r="G396" s="126">
        <f t="shared" si="139"/>
        <v>0</v>
      </c>
      <c r="H396" s="126">
        <f t="shared" si="140"/>
        <v>0</v>
      </c>
      <c r="I396" s="126">
        <v>0</v>
      </c>
      <c r="J396" s="14">
        <v>0</v>
      </c>
    </row>
    <row r="397" spans="1:10" x14ac:dyDescent="0.2">
      <c r="A397" s="261" t="s">
        <v>365</v>
      </c>
      <c r="B397" s="260" t="s">
        <v>364</v>
      </c>
      <c r="C397" s="259">
        <v>10000</v>
      </c>
      <c r="D397" s="259">
        <v>10000</v>
      </c>
      <c r="E397" s="10">
        <v>0</v>
      </c>
      <c r="F397" s="10"/>
      <c r="G397" s="126">
        <f t="shared" si="139"/>
        <v>0</v>
      </c>
      <c r="H397" s="126">
        <f t="shared" si="140"/>
        <v>0</v>
      </c>
      <c r="I397" s="126">
        <v>0</v>
      </c>
      <c r="J397" s="14">
        <v>0</v>
      </c>
    </row>
    <row r="398" spans="1:10" x14ac:dyDescent="0.2">
      <c r="A398" s="261" t="s">
        <v>363</v>
      </c>
      <c r="B398" s="260" t="s">
        <v>362</v>
      </c>
      <c r="C398" s="259">
        <v>7800000</v>
      </c>
      <c r="D398" s="259">
        <f>7800000-6000000</f>
        <v>1800000</v>
      </c>
      <c r="E398" s="10">
        <v>0</v>
      </c>
      <c r="F398" s="10"/>
      <c r="G398" s="126">
        <f t="shared" si="139"/>
        <v>0</v>
      </c>
      <c r="H398" s="126">
        <f t="shared" si="140"/>
        <v>0</v>
      </c>
      <c r="I398" s="126">
        <f t="shared" si="141"/>
        <v>0</v>
      </c>
      <c r="J398" s="14">
        <v>48400</v>
      </c>
    </row>
    <row r="399" spans="1:10" x14ac:dyDescent="0.2">
      <c r="A399" s="271">
        <v>3631</v>
      </c>
      <c r="B399" s="270" t="s">
        <v>361</v>
      </c>
      <c r="C399" s="269">
        <f>SUM(C400:C405)</f>
        <v>10716000</v>
      </c>
      <c r="D399" s="269">
        <f>SUM(D400:D405)</f>
        <v>9716000</v>
      </c>
      <c r="E399" s="547">
        <v>1134037.02</v>
      </c>
      <c r="F399" s="11">
        <f>SUM(E400:E405)</f>
        <v>1134037.02</v>
      </c>
      <c r="G399" s="120">
        <f t="shared" si="139"/>
        <v>10.5826522956327</v>
      </c>
      <c r="H399" s="120">
        <f t="shared" si="140"/>
        <v>11.671850761630301</v>
      </c>
      <c r="I399" s="120">
        <f t="shared" si="141"/>
        <v>1545.3259979529869</v>
      </c>
      <c r="J399" s="14">
        <v>73384.97</v>
      </c>
    </row>
    <row r="400" spans="1:10" x14ac:dyDescent="0.2">
      <c r="A400" s="261" t="s">
        <v>360</v>
      </c>
      <c r="B400" s="260" t="s">
        <v>359</v>
      </c>
      <c r="C400" s="259">
        <v>6600000</v>
      </c>
      <c r="D400" s="259">
        <f>6600000-1000000</f>
        <v>5600000</v>
      </c>
      <c r="E400" s="10">
        <v>0</v>
      </c>
      <c r="F400" s="11"/>
      <c r="G400" s="126">
        <f t="shared" si="139"/>
        <v>0</v>
      </c>
      <c r="H400" s="126">
        <f t="shared" ref="H400:H401" si="142">E400/D400*100</f>
        <v>0</v>
      </c>
      <c r="I400" s="126">
        <v>0</v>
      </c>
      <c r="J400" s="14">
        <v>0</v>
      </c>
    </row>
    <row r="401" spans="1:10" x14ac:dyDescent="0.2">
      <c r="A401" s="261" t="s">
        <v>358</v>
      </c>
      <c r="B401" s="260" t="s">
        <v>357</v>
      </c>
      <c r="C401" s="259">
        <v>1400000</v>
      </c>
      <c r="D401" s="259">
        <f>1400000-60000</f>
        <v>1340000</v>
      </c>
      <c r="E401" s="9">
        <v>0</v>
      </c>
      <c r="F401" s="9"/>
      <c r="G401" s="126">
        <f t="shared" si="139"/>
        <v>0</v>
      </c>
      <c r="H401" s="126">
        <f t="shared" si="142"/>
        <v>0</v>
      </c>
      <c r="I401" s="126">
        <v>0</v>
      </c>
      <c r="J401" s="14">
        <v>0</v>
      </c>
    </row>
    <row r="402" spans="1:10" x14ac:dyDescent="0.2">
      <c r="A402" s="261" t="s">
        <v>356</v>
      </c>
      <c r="B402" s="260" t="s">
        <v>355</v>
      </c>
      <c r="C402" s="259">
        <v>1466000</v>
      </c>
      <c r="D402" s="259">
        <v>1466000</v>
      </c>
      <c r="E402" s="104">
        <v>65945</v>
      </c>
      <c r="F402" s="104"/>
      <c r="G402" s="126">
        <f t="shared" si="139"/>
        <v>4.4982946793997272</v>
      </c>
      <c r="H402" s="130">
        <f t="shared" ref="H402:H405" si="143">E402/D402*100</f>
        <v>4.4982946793997272</v>
      </c>
      <c r="I402" s="130">
        <v>0</v>
      </c>
      <c r="J402" s="14">
        <v>0</v>
      </c>
    </row>
    <row r="403" spans="1:10" x14ac:dyDescent="0.2">
      <c r="A403" s="261" t="s">
        <v>354</v>
      </c>
      <c r="B403" s="260" t="s">
        <v>353</v>
      </c>
      <c r="C403" s="259">
        <v>1200000</v>
      </c>
      <c r="D403" s="259">
        <v>1200000</v>
      </c>
      <c r="E403" s="186">
        <v>1062042.02</v>
      </c>
      <c r="F403" s="186"/>
      <c r="G403" s="126">
        <f t="shared" si="139"/>
        <v>88.503501666666679</v>
      </c>
      <c r="H403" s="126">
        <f t="shared" si="143"/>
        <v>88.503501666666679</v>
      </c>
      <c r="I403" s="126">
        <v>0</v>
      </c>
      <c r="J403" s="14">
        <v>0</v>
      </c>
    </row>
    <row r="404" spans="1:10" x14ac:dyDescent="0.2">
      <c r="A404" s="261" t="s">
        <v>352</v>
      </c>
      <c r="B404" s="260" t="s">
        <v>351</v>
      </c>
      <c r="C404" s="272">
        <v>50000</v>
      </c>
      <c r="D404" s="272">
        <v>50000</v>
      </c>
      <c r="E404" s="130">
        <v>6050</v>
      </c>
      <c r="F404" s="208"/>
      <c r="G404" s="126">
        <f t="shared" ref="G404" si="144">E404/C404*100</f>
        <v>12.1</v>
      </c>
      <c r="H404" s="126">
        <f t="shared" ref="H404" si="145">E404/D404*100</f>
        <v>12.1</v>
      </c>
      <c r="I404" s="126">
        <v>0</v>
      </c>
      <c r="J404" s="14">
        <v>0</v>
      </c>
    </row>
    <row r="405" spans="1:10" x14ac:dyDescent="0.2">
      <c r="A405" s="261" t="s">
        <v>963</v>
      </c>
      <c r="B405" s="260" t="s">
        <v>908</v>
      </c>
      <c r="C405" s="272">
        <v>0</v>
      </c>
      <c r="D405" s="272">
        <v>60000</v>
      </c>
      <c r="E405" s="130">
        <v>0</v>
      </c>
      <c r="F405" s="208"/>
      <c r="G405" s="126">
        <v>0</v>
      </c>
      <c r="H405" s="126">
        <f t="shared" si="143"/>
        <v>0</v>
      </c>
      <c r="I405" s="126">
        <v>0</v>
      </c>
      <c r="J405" s="14">
        <v>0</v>
      </c>
    </row>
    <row r="406" spans="1:10" x14ac:dyDescent="0.2">
      <c r="A406" s="271">
        <v>3633</v>
      </c>
      <c r="B406" s="270" t="s">
        <v>350</v>
      </c>
      <c r="C406" s="269">
        <f>SUM(C407:C408)</f>
        <v>42500000</v>
      </c>
      <c r="D406" s="269">
        <f>SUM(D407:D408)</f>
        <v>34500000</v>
      </c>
      <c r="E406" s="491">
        <v>150000</v>
      </c>
      <c r="F406" s="209">
        <f>SUM(E407:E408)</f>
        <v>150000</v>
      </c>
      <c r="G406" s="120">
        <f t="shared" si="139"/>
        <v>0.35294117647058826</v>
      </c>
      <c r="H406" s="120">
        <f t="shared" ref="H406:H409" si="146">E406/D406*100</f>
        <v>0.43478260869565216</v>
      </c>
      <c r="I406" s="120">
        <f t="shared" ref="I406:I409" si="147">E406/J406*100</f>
        <v>132.44331426149608</v>
      </c>
      <c r="J406" s="6">
        <v>113256</v>
      </c>
    </row>
    <row r="407" spans="1:10" x14ac:dyDescent="0.2">
      <c r="A407" s="261" t="s">
        <v>349</v>
      </c>
      <c r="B407" s="260" t="s">
        <v>348</v>
      </c>
      <c r="C407" s="259">
        <v>1500000</v>
      </c>
      <c r="D407" s="259">
        <v>1500000</v>
      </c>
      <c r="E407" s="210">
        <v>0</v>
      </c>
      <c r="F407" s="209"/>
      <c r="G407" s="126">
        <f t="shared" si="139"/>
        <v>0</v>
      </c>
      <c r="H407" s="126">
        <f t="shared" si="146"/>
        <v>0</v>
      </c>
      <c r="I407" s="126">
        <v>0</v>
      </c>
      <c r="J407" s="14">
        <v>0</v>
      </c>
    </row>
    <row r="408" spans="1:10" ht="13.5" thickBot="1" x14ac:dyDescent="0.25">
      <c r="A408" s="261" t="s">
        <v>347</v>
      </c>
      <c r="B408" s="260" t="s">
        <v>346</v>
      </c>
      <c r="C408" s="259">
        <v>41000000</v>
      </c>
      <c r="D408" s="259">
        <f>41000000-8000000</f>
        <v>33000000</v>
      </c>
      <c r="E408" s="210">
        <v>150000</v>
      </c>
      <c r="F408" s="209"/>
      <c r="G408" s="126">
        <f t="shared" si="139"/>
        <v>0.36585365853658541</v>
      </c>
      <c r="H408" s="126">
        <f t="shared" si="146"/>
        <v>0.45454545454545453</v>
      </c>
      <c r="I408" s="126">
        <f t="shared" si="147"/>
        <v>309.91735537190084</v>
      </c>
      <c r="J408" s="14">
        <v>48400</v>
      </c>
    </row>
    <row r="409" spans="1:10" ht="16.5" thickBot="1" x14ac:dyDescent="0.3">
      <c r="A409" s="267"/>
      <c r="B409" s="266" t="s">
        <v>345</v>
      </c>
      <c r="C409" s="265">
        <f>SUM(C410:C413)</f>
        <v>472500</v>
      </c>
      <c r="D409" s="265">
        <f>SUM(D410:D413)</f>
        <v>172500</v>
      </c>
      <c r="E409" s="43">
        <v>72675</v>
      </c>
      <c r="F409" s="707">
        <f>SUM(E410:E412)</f>
        <v>72675</v>
      </c>
      <c r="G409" s="479">
        <f>E409/C409*100</f>
        <v>15.380952380952381</v>
      </c>
      <c r="H409" s="479">
        <f t="shared" si="146"/>
        <v>42.130434782608695</v>
      </c>
      <c r="I409" s="479">
        <f t="shared" si="147"/>
        <v>69.214285714285722</v>
      </c>
      <c r="J409" s="6">
        <v>105000</v>
      </c>
    </row>
    <row r="410" spans="1:10" x14ac:dyDescent="0.2">
      <c r="A410" s="264" t="s">
        <v>344</v>
      </c>
      <c r="B410" s="263" t="s">
        <v>343</v>
      </c>
      <c r="C410" s="262">
        <v>150000</v>
      </c>
      <c r="D410" s="262">
        <f>150000-150000</f>
        <v>0</v>
      </c>
      <c r="E410" s="492">
        <v>0</v>
      </c>
      <c r="F410" s="9"/>
      <c r="G410" s="126">
        <f t="shared" si="139"/>
        <v>0</v>
      </c>
      <c r="H410" s="126">
        <v>0</v>
      </c>
      <c r="I410" s="126">
        <v>0</v>
      </c>
      <c r="J410" s="14">
        <v>0</v>
      </c>
    </row>
    <row r="411" spans="1:10" x14ac:dyDescent="0.2">
      <c r="A411" s="261" t="s">
        <v>342</v>
      </c>
      <c r="B411" s="260" t="s">
        <v>341</v>
      </c>
      <c r="C411" s="259">
        <v>150000</v>
      </c>
      <c r="D411" s="259">
        <f>150000-150000</f>
        <v>0</v>
      </c>
      <c r="E411" s="10">
        <v>0</v>
      </c>
      <c r="F411" s="10"/>
      <c r="G411" s="126">
        <f t="shared" si="139"/>
        <v>0</v>
      </c>
      <c r="H411" s="126">
        <v>0</v>
      </c>
      <c r="I411" s="126">
        <v>0</v>
      </c>
      <c r="J411" s="14">
        <v>0</v>
      </c>
    </row>
    <row r="412" spans="1:10" x14ac:dyDescent="0.2">
      <c r="A412" s="261" t="s">
        <v>340</v>
      </c>
      <c r="B412" s="260" t="s">
        <v>339</v>
      </c>
      <c r="C412" s="259">
        <v>172500</v>
      </c>
      <c r="D412" s="259">
        <v>172500</v>
      </c>
      <c r="E412" s="210">
        <v>72675</v>
      </c>
      <c r="F412" s="10"/>
      <c r="G412" s="126">
        <f t="shared" si="139"/>
        <v>42.130434782608695</v>
      </c>
      <c r="H412" s="126">
        <f t="shared" ref="H412" si="148">E412/D412*100</f>
        <v>42.130434782608695</v>
      </c>
      <c r="I412" s="126">
        <f t="shared" ref="I412" si="149">E412/J412*100</f>
        <v>69.214285714285722</v>
      </c>
      <c r="J412" s="14">
        <v>105000</v>
      </c>
    </row>
    <row r="413" spans="1:10" ht="13.5" thickBot="1" x14ac:dyDescent="0.25">
      <c r="A413" s="258"/>
      <c r="B413" s="257"/>
      <c r="C413" s="256"/>
      <c r="D413" s="256"/>
      <c r="E413" s="11"/>
      <c r="F413" s="11"/>
      <c r="G413" s="151"/>
      <c r="H413" s="151"/>
      <c r="I413" s="151"/>
      <c r="J413" s="14"/>
    </row>
    <row r="414" spans="1:10" ht="21" thickBot="1" x14ac:dyDescent="0.25">
      <c r="A414" s="255"/>
      <c r="B414" s="243" t="s">
        <v>338</v>
      </c>
      <c r="C414" s="242">
        <f>SUM(C415:C417)</f>
        <v>3640000</v>
      </c>
      <c r="D414" s="242">
        <f>SUM(D415:D417)</f>
        <v>2714871</v>
      </c>
      <c r="E414" s="48">
        <v>2636838</v>
      </c>
      <c r="F414" s="709">
        <f>SUM(E415:E417)</f>
        <v>2636838</v>
      </c>
      <c r="G414" s="571">
        <f>E414/C414*100</f>
        <v>72.440604395604396</v>
      </c>
      <c r="H414" s="181">
        <f>E414/D414*100</f>
        <v>97.125719785580984</v>
      </c>
      <c r="I414" s="181">
        <f>E414/J414*100</f>
        <v>89.897148888643414</v>
      </c>
      <c r="J414" s="6">
        <v>2933172</v>
      </c>
    </row>
    <row r="415" spans="1:10" ht="31.5" customHeight="1" x14ac:dyDescent="0.2">
      <c r="A415" s="248">
        <v>2141</v>
      </c>
      <c r="B415" s="175" t="s">
        <v>337</v>
      </c>
      <c r="C415" s="120">
        <v>950000</v>
      </c>
      <c r="D415" s="120">
        <f>950000-810000+2000000</f>
        <v>2140000</v>
      </c>
      <c r="E415" s="494">
        <v>2061967</v>
      </c>
      <c r="F415" s="208"/>
      <c r="G415" s="120">
        <f t="shared" ref="G415:G417" si="150">E415/C415*100</f>
        <v>217.04915789473685</v>
      </c>
      <c r="H415" s="120">
        <f t="shared" ref="H415:H416" si="151">E415/D415*100</f>
        <v>96.353598130841121</v>
      </c>
      <c r="I415" s="120">
        <f t="shared" ref="I415:I416" si="152">E415/J415*100</f>
        <v>99.161823914252025</v>
      </c>
      <c r="J415" s="6">
        <v>2079396</v>
      </c>
    </row>
    <row r="416" spans="1:10" x14ac:dyDescent="0.2">
      <c r="A416" s="20">
        <v>3341</v>
      </c>
      <c r="B416" s="123" t="s">
        <v>336</v>
      </c>
      <c r="C416" s="120">
        <v>2670000</v>
      </c>
      <c r="D416" s="120">
        <f>2670000-2095129</f>
        <v>574871</v>
      </c>
      <c r="E416" s="494">
        <v>574871</v>
      </c>
      <c r="F416" s="208"/>
      <c r="G416" s="120">
        <f t="shared" si="150"/>
        <v>21.530749063670413</v>
      </c>
      <c r="H416" s="120">
        <f t="shared" si="151"/>
        <v>100</v>
      </c>
      <c r="I416" s="120">
        <f t="shared" si="152"/>
        <v>67.332529846716767</v>
      </c>
      <c r="J416" s="14">
        <v>853779</v>
      </c>
    </row>
    <row r="417" spans="1:735" x14ac:dyDescent="0.2">
      <c r="A417" s="180">
        <v>3399</v>
      </c>
      <c r="B417" s="123" t="s">
        <v>335</v>
      </c>
      <c r="C417" s="120">
        <v>20000</v>
      </c>
      <c r="D417" s="120">
        <f>20000-20000</f>
        <v>0</v>
      </c>
      <c r="E417" s="494">
        <v>0</v>
      </c>
      <c r="F417" s="208"/>
      <c r="G417" s="120">
        <f t="shared" si="150"/>
        <v>0</v>
      </c>
      <c r="H417" s="120">
        <v>0</v>
      </c>
      <c r="I417" s="120">
        <v>0</v>
      </c>
      <c r="J417" s="14">
        <v>0</v>
      </c>
    </row>
    <row r="418" spans="1:735" s="17" customFormat="1" ht="12.75" customHeight="1" thickBot="1" x14ac:dyDescent="0.3">
      <c r="A418" s="252"/>
      <c r="B418" s="251"/>
      <c r="C418" s="117"/>
      <c r="D418" s="117"/>
      <c r="E418" s="117"/>
      <c r="F418" s="352"/>
      <c r="G418" s="151"/>
      <c r="H418" s="151"/>
      <c r="I418" s="151"/>
      <c r="J418" s="14"/>
      <c r="K418" s="579"/>
      <c r="L418" s="579"/>
      <c r="M418" s="579"/>
      <c r="N418" s="579"/>
      <c r="O418" s="579"/>
      <c r="P418" s="579"/>
      <c r="Q418" s="579"/>
      <c r="R418" s="579"/>
      <c r="S418" s="579"/>
      <c r="T418" s="579"/>
      <c r="U418" s="579"/>
      <c r="V418" s="579"/>
      <c r="W418" s="579"/>
      <c r="X418" s="579"/>
      <c r="Y418" s="579"/>
      <c r="Z418" s="579"/>
      <c r="AA418" s="579"/>
      <c r="AB418" s="579"/>
      <c r="AC418" s="579"/>
      <c r="AD418" s="579"/>
      <c r="AE418" s="579"/>
      <c r="AF418" s="579"/>
      <c r="AG418" s="579"/>
      <c r="AH418" s="579"/>
      <c r="AI418" s="579"/>
      <c r="AJ418" s="579"/>
      <c r="AK418" s="579"/>
      <c r="AL418" s="579"/>
      <c r="AM418" s="579"/>
      <c r="AN418" s="579"/>
      <c r="AO418" s="579"/>
      <c r="AP418" s="579"/>
      <c r="AQ418" s="579"/>
      <c r="AR418" s="579"/>
      <c r="AS418" s="579"/>
      <c r="AT418" s="579"/>
      <c r="AU418" s="579"/>
      <c r="AV418" s="579"/>
      <c r="AW418" s="579"/>
      <c r="AX418" s="579"/>
      <c r="AY418" s="579"/>
      <c r="AZ418" s="579"/>
      <c r="BA418" s="579"/>
      <c r="BB418" s="579"/>
      <c r="BC418" s="579"/>
      <c r="BD418" s="579"/>
      <c r="BE418" s="579"/>
      <c r="BF418" s="579"/>
      <c r="BG418" s="579"/>
      <c r="BH418" s="579"/>
      <c r="BI418" s="579"/>
      <c r="BJ418" s="579"/>
      <c r="BK418" s="579"/>
      <c r="BL418" s="579"/>
      <c r="BM418" s="579"/>
      <c r="BN418" s="579"/>
      <c r="BO418" s="579"/>
      <c r="BP418" s="579"/>
      <c r="BQ418" s="579"/>
      <c r="BR418" s="579"/>
      <c r="BS418" s="579"/>
      <c r="BT418" s="579"/>
      <c r="BU418" s="579"/>
      <c r="BV418" s="579"/>
      <c r="BW418" s="579"/>
      <c r="BX418" s="579"/>
      <c r="BY418" s="579"/>
      <c r="BZ418" s="579"/>
      <c r="CA418" s="579"/>
      <c r="CB418" s="579"/>
      <c r="CC418" s="579"/>
      <c r="CD418" s="579"/>
      <c r="CE418" s="579"/>
      <c r="CF418" s="579"/>
      <c r="CG418" s="579"/>
      <c r="CH418" s="579"/>
      <c r="CI418" s="579"/>
      <c r="CJ418" s="579"/>
      <c r="CK418" s="579"/>
      <c r="CL418" s="579"/>
      <c r="CM418" s="579"/>
      <c r="CN418" s="579"/>
      <c r="CO418" s="579"/>
      <c r="CP418" s="579"/>
      <c r="CQ418" s="579"/>
      <c r="CR418" s="579"/>
      <c r="CS418" s="579"/>
      <c r="CT418" s="579"/>
      <c r="CU418" s="579"/>
      <c r="CV418" s="579"/>
      <c r="CW418" s="579"/>
      <c r="CX418" s="579"/>
      <c r="CY418" s="579"/>
      <c r="CZ418" s="579"/>
      <c r="DA418" s="579"/>
      <c r="DB418" s="579"/>
      <c r="DC418" s="579"/>
      <c r="DD418" s="579"/>
      <c r="DE418" s="579"/>
      <c r="DF418" s="579"/>
      <c r="DG418" s="579"/>
      <c r="DH418" s="579"/>
      <c r="DI418" s="579"/>
      <c r="DJ418" s="579"/>
      <c r="DK418" s="579"/>
      <c r="DL418" s="579"/>
      <c r="DM418" s="579"/>
      <c r="DN418" s="579"/>
      <c r="DO418" s="579"/>
      <c r="DP418" s="579"/>
      <c r="DQ418" s="579"/>
      <c r="DR418" s="579"/>
      <c r="DS418" s="579"/>
      <c r="DT418" s="579"/>
      <c r="DU418" s="579"/>
      <c r="DV418" s="579"/>
      <c r="DW418" s="579"/>
      <c r="DX418" s="579"/>
      <c r="DY418" s="579"/>
      <c r="DZ418" s="579"/>
      <c r="EA418" s="579"/>
      <c r="EB418" s="579"/>
      <c r="EC418" s="579"/>
      <c r="ED418" s="579"/>
      <c r="EE418" s="579"/>
      <c r="EF418" s="579"/>
      <c r="EG418" s="579"/>
      <c r="EH418" s="579"/>
      <c r="EI418" s="579"/>
      <c r="EJ418" s="579"/>
      <c r="EK418" s="579"/>
      <c r="EL418" s="579"/>
      <c r="EM418" s="579"/>
      <c r="EN418" s="579"/>
      <c r="EO418" s="579"/>
      <c r="EP418" s="579"/>
      <c r="EQ418" s="579"/>
      <c r="ER418" s="579"/>
      <c r="ES418" s="579"/>
      <c r="ET418" s="579"/>
      <c r="EU418" s="579"/>
      <c r="EV418" s="579"/>
      <c r="EW418" s="579"/>
      <c r="EX418" s="579"/>
      <c r="EY418" s="579"/>
      <c r="EZ418" s="579"/>
      <c r="FA418" s="579"/>
      <c r="FB418" s="579"/>
      <c r="FC418" s="579"/>
      <c r="FD418" s="579"/>
      <c r="FE418" s="579"/>
      <c r="FF418" s="579"/>
      <c r="FG418" s="579"/>
      <c r="FH418" s="579"/>
      <c r="FI418" s="579"/>
      <c r="FJ418" s="579"/>
      <c r="FK418" s="579"/>
      <c r="FL418" s="579"/>
      <c r="FM418" s="579"/>
      <c r="FN418" s="579"/>
      <c r="FO418" s="579"/>
      <c r="FP418" s="579"/>
      <c r="FQ418" s="579"/>
      <c r="FR418" s="579"/>
      <c r="FS418" s="579"/>
      <c r="FT418" s="579"/>
      <c r="FU418" s="579"/>
      <c r="FV418" s="579"/>
      <c r="FW418" s="579"/>
      <c r="FX418" s="579"/>
      <c r="FY418" s="579"/>
      <c r="FZ418" s="579"/>
      <c r="GA418" s="579"/>
      <c r="GB418" s="579"/>
      <c r="GC418" s="579"/>
      <c r="GD418" s="579"/>
      <c r="GE418" s="579"/>
      <c r="GF418" s="579"/>
      <c r="GG418" s="579"/>
      <c r="GH418" s="579"/>
      <c r="GI418" s="579"/>
      <c r="GJ418" s="579"/>
      <c r="GK418" s="579"/>
      <c r="GL418" s="579"/>
      <c r="GM418" s="579"/>
      <c r="GN418" s="579"/>
      <c r="GO418" s="579"/>
      <c r="GP418" s="579"/>
      <c r="GQ418" s="579"/>
      <c r="GR418" s="579"/>
      <c r="GS418" s="579"/>
      <c r="GT418" s="579"/>
      <c r="GU418" s="579"/>
      <c r="GV418" s="579"/>
      <c r="GW418" s="579"/>
      <c r="GX418" s="579"/>
      <c r="GY418" s="579"/>
      <c r="GZ418" s="579"/>
      <c r="HA418" s="579"/>
      <c r="HB418" s="579"/>
      <c r="HC418" s="579"/>
      <c r="HD418" s="579"/>
      <c r="HE418" s="579"/>
      <c r="HF418" s="579"/>
      <c r="HG418" s="579"/>
      <c r="HH418" s="579"/>
      <c r="HI418" s="579"/>
      <c r="HJ418" s="579"/>
      <c r="HK418" s="579"/>
      <c r="HL418" s="579"/>
      <c r="HM418" s="579"/>
      <c r="HN418" s="579"/>
      <c r="HO418" s="579"/>
      <c r="HP418" s="579"/>
      <c r="HQ418" s="579"/>
      <c r="HR418" s="579"/>
      <c r="HS418" s="579"/>
      <c r="HT418" s="579"/>
      <c r="HU418" s="579"/>
      <c r="HV418" s="579"/>
      <c r="HW418" s="579"/>
      <c r="HX418" s="579"/>
      <c r="HY418" s="579"/>
      <c r="HZ418" s="579"/>
      <c r="IA418" s="579"/>
      <c r="IB418" s="579"/>
      <c r="IC418" s="579"/>
      <c r="ID418" s="579"/>
      <c r="IE418" s="579"/>
      <c r="IF418" s="579"/>
      <c r="IG418" s="579"/>
      <c r="IH418" s="579"/>
      <c r="II418" s="579"/>
      <c r="IJ418" s="579"/>
      <c r="IK418" s="579"/>
      <c r="IL418" s="579"/>
      <c r="IM418" s="579"/>
      <c r="IN418" s="579"/>
      <c r="IO418" s="579"/>
      <c r="IP418" s="579"/>
      <c r="IQ418" s="579"/>
      <c r="IR418" s="579"/>
      <c r="IS418" s="579"/>
      <c r="IT418" s="579"/>
      <c r="IU418" s="579"/>
      <c r="IV418" s="579"/>
      <c r="IW418" s="579"/>
      <c r="IX418" s="579"/>
      <c r="IY418" s="579"/>
      <c r="IZ418" s="579"/>
      <c r="JA418" s="579"/>
      <c r="JB418" s="579"/>
      <c r="JC418" s="579"/>
      <c r="JD418" s="579"/>
      <c r="JE418" s="579"/>
      <c r="JF418" s="579"/>
      <c r="JG418" s="579"/>
      <c r="JH418" s="579"/>
      <c r="JI418" s="579"/>
      <c r="JJ418" s="579"/>
      <c r="JK418" s="579"/>
      <c r="JL418" s="579"/>
      <c r="JM418" s="579"/>
      <c r="JN418" s="579"/>
      <c r="JO418" s="579"/>
      <c r="JP418" s="579"/>
      <c r="JQ418" s="579"/>
      <c r="JR418" s="579"/>
      <c r="JS418" s="579"/>
      <c r="JT418" s="579"/>
      <c r="JU418" s="579"/>
      <c r="JV418" s="579"/>
      <c r="JW418" s="579"/>
      <c r="JX418" s="579"/>
      <c r="JY418" s="579"/>
      <c r="JZ418" s="579"/>
      <c r="KA418" s="579"/>
      <c r="KB418" s="579"/>
      <c r="KC418" s="579"/>
      <c r="KD418" s="579"/>
      <c r="KE418" s="579"/>
      <c r="KF418" s="579"/>
      <c r="KG418" s="579"/>
      <c r="KH418" s="579"/>
      <c r="KI418" s="579"/>
      <c r="KJ418" s="579"/>
      <c r="KK418" s="579"/>
      <c r="KL418" s="579"/>
      <c r="KM418" s="579"/>
      <c r="KN418" s="579"/>
      <c r="KO418" s="579"/>
      <c r="KP418" s="579"/>
      <c r="KQ418" s="579"/>
      <c r="KR418" s="579"/>
      <c r="KS418" s="579"/>
      <c r="KT418" s="579"/>
      <c r="KU418" s="579"/>
      <c r="KV418" s="579"/>
      <c r="KW418" s="579"/>
      <c r="KX418" s="579"/>
      <c r="KY418" s="579"/>
      <c r="KZ418" s="579"/>
      <c r="LA418" s="579"/>
      <c r="LB418" s="579"/>
      <c r="LC418" s="579"/>
      <c r="LD418" s="579"/>
      <c r="LE418" s="579"/>
      <c r="LF418" s="579"/>
      <c r="LG418" s="579"/>
      <c r="LH418" s="579"/>
      <c r="LI418" s="579"/>
      <c r="LJ418" s="579"/>
      <c r="LK418" s="579"/>
      <c r="LL418" s="579"/>
      <c r="LM418" s="579"/>
      <c r="LN418" s="579"/>
      <c r="LO418" s="579"/>
      <c r="LP418" s="579"/>
      <c r="LQ418" s="579"/>
      <c r="LR418" s="579"/>
      <c r="LS418" s="579"/>
      <c r="LT418" s="579"/>
      <c r="LU418" s="579"/>
      <c r="LV418" s="579"/>
      <c r="LW418" s="579"/>
      <c r="LX418" s="579"/>
      <c r="LY418" s="579"/>
      <c r="LZ418" s="579"/>
      <c r="MA418" s="579"/>
      <c r="MB418" s="579"/>
      <c r="MC418" s="579"/>
      <c r="MD418" s="579"/>
      <c r="ME418" s="579"/>
      <c r="MF418" s="579"/>
      <c r="MG418" s="579"/>
      <c r="MH418" s="579"/>
      <c r="MI418" s="579"/>
      <c r="MJ418" s="579"/>
      <c r="MK418" s="579"/>
      <c r="ML418" s="579"/>
      <c r="MM418" s="579"/>
      <c r="MN418" s="579"/>
      <c r="MO418" s="579"/>
      <c r="MP418" s="579"/>
      <c r="MQ418" s="579"/>
      <c r="MR418" s="579"/>
      <c r="MS418" s="579"/>
      <c r="MT418" s="579"/>
      <c r="MU418" s="579"/>
      <c r="MV418" s="579"/>
      <c r="MW418" s="579"/>
      <c r="MX418" s="579"/>
      <c r="MY418" s="579"/>
      <c r="MZ418" s="579"/>
      <c r="NA418" s="579"/>
      <c r="NB418" s="579"/>
      <c r="NC418" s="579"/>
      <c r="ND418" s="579"/>
      <c r="NE418" s="579"/>
      <c r="NF418" s="579"/>
      <c r="NG418" s="579"/>
      <c r="NH418" s="579"/>
      <c r="NI418" s="579"/>
      <c r="NJ418" s="579"/>
      <c r="NK418" s="579"/>
      <c r="NL418" s="579"/>
      <c r="NM418" s="579"/>
      <c r="NN418" s="579"/>
      <c r="NO418" s="579"/>
      <c r="NP418" s="579"/>
      <c r="NQ418" s="579"/>
      <c r="NR418" s="579"/>
      <c r="NS418" s="579"/>
      <c r="NT418" s="579"/>
      <c r="NU418" s="579"/>
      <c r="NV418" s="579"/>
      <c r="NW418" s="579"/>
      <c r="NX418" s="579"/>
      <c r="NY418" s="579"/>
      <c r="NZ418" s="579"/>
      <c r="OA418" s="579"/>
      <c r="OB418" s="579"/>
      <c r="OC418" s="579"/>
      <c r="OD418" s="579"/>
      <c r="OE418" s="579"/>
      <c r="OF418" s="579"/>
      <c r="OG418" s="579"/>
      <c r="OH418" s="579"/>
      <c r="OI418" s="579"/>
      <c r="OJ418" s="579"/>
      <c r="OK418" s="579"/>
      <c r="OL418" s="579"/>
      <c r="OM418" s="579"/>
      <c r="ON418" s="579"/>
      <c r="OO418" s="579"/>
      <c r="OP418" s="579"/>
      <c r="OQ418" s="579"/>
      <c r="OR418" s="579"/>
      <c r="OS418" s="579"/>
      <c r="OT418" s="579"/>
      <c r="OU418" s="579"/>
      <c r="OV418" s="579"/>
      <c r="OW418" s="579"/>
      <c r="OX418" s="579"/>
      <c r="OY418" s="579"/>
      <c r="OZ418" s="579"/>
      <c r="PA418" s="579"/>
      <c r="PB418" s="579"/>
      <c r="PC418" s="579"/>
      <c r="PD418" s="579"/>
      <c r="PE418" s="579"/>
      <c r="PF418" s="579"/>
      <c r="PG418" s="579"/>
      <c r="PH418" s="579"/>
      <c r="PI418" s="579"/>
      <c r="PJ418" s="579"/>
      <c r="PK418" s="579"/>
      <c r="PL418" s="579"/>
      <c r="PM418" s="579"/>
      <c r="PN418" s="579"/>
      <c r="PO418" s="579"/>
      <c r="PP418" s="579"/>
      <c r="PQ418" s="579"/>
      <c r="PR418" s="579"/>
      <c r="PS418" s="579"/>
      <c r="PT418" s="579"/>
      <c r="PU418" s="579"/>
      <c r="PV418" s="579"/>
      <c r="PW418" s="579"/>
      <c r="PX418" s="579"/>
      <c r="PY418" s="579"/>
      <c r="PZ418" s="579"/>
      <c r="QA418" s="579"/>
      <c r="QB418" s="579"/>
      <c r="QC418" s="579"/>
      <c r="QD418" s="579"/>
      <c r="QE418" s="579"/>
      <c r="QF418" s="579"/>
      <c r="QG418" s="579"/>
      <c r="QH418" s="579"/>
      <c r="QI418" s="579"/>
      <c r="QJ418" s="579"/>
      <c r="QK418" s="579"/>
      <c r="QL418" s="579"/>
      <c r="QM418" s="579"/>
      <c r="QN418" s="579"/>
      <c r="QO418" s="579"/>
      <c r="QP418" s="579"/>
      <c r="QQ418" s="579"/>
      <c r="QR418" s="579"/>
      <c r="QS418" s="579"/>
      <c r="QT418" s="579"/>
      <c r="QU418" s="579"/>
      <c r="QV418" s="579"/>
      <c r="QW418" s="579"/>
      <c r="QX418" s="579"/>
      <c r="QY418" s="579"/>
      <c r="QZ418" s="579"/>
      <c r="RA418" s="579"/>
      <c r="RB418" s="579"/>
      <c r="RC418" s="579"/>
      <c r="RD418" s="579"/>
      <c r="RE418" s="579"/>
      <c r="RF418" s="579"/>
      <c r="RG418" s="579"/>
      <c r="RH418" s="579"/>
      <c r="RI418" s="579"/>
      <c r="RJ418" s="579"/>
      <c r="RK418" s="579"/>
      <c r="RL418" s="579"/>
      <c r="RM418" s="579"/>
      <c r="RN418" s="579"/>
      <c r="RO418" s="579"/>
      <c r="RP418" s="579"/>
      <c r="RQ418" s="579"/>
      <c r="RR418" s="579"/>
      <c r="RS418" s="579"/>
      <c r="RT418" s="579"/>
      <c r="RU418" s="579"/>
      <c r="RV418" s="579"/>
      <c r="RW418" s="579"/>
      <c r="RX418" s="579"/>
      <c r="RY418" s="579"/>
      <c r="RZ418" s="579"/>
      <c r="SA418" s="579"/>
      <c r="SB418" s="579"/>
      <c r="SC418" s="579"/>
      <c r="SD418" s="579"/>
      <c r="SE418" s="579"/>
      <c r="SF418" s="579"/>
      <c r="SG418" s="579"/>
      <c r="SH418" s="579"/>
      <c r="SI418" s="579"/>
      <c r="SJ418" s="579"/>
      <c r="SK418" s="579"/>
      <c r="SL418" s="579"/>
      <c r="SM418" s="579"/>
      <c r="SN418" s="579"/>
      <c r="SO418" s="579"/>
      <c r="SP418" s="579"/>
      <c r="SQ418" s="579"/>
      <c r="SR418" s="579"/>
      <c r="SS418" s="579"/>
      <c r="ST418" s="579"/>
      <c r="SU418" s="579"/>
      <c r="SV418" s="579"/>
      <c r="SW418" s="579"/>
      <c r="SX418" s="579"/>
      <c r="SY418" s="579"/>
      <c r="SZ418" s="579"/>
      <c r="TA418" s="579"/>
      <c r="TB418" s="579"/>
      <c r="TC418" s="579"/>
      <c r="TD418" s="579"/>
      <c r="TE418" s="579"/>
      <c r="TF418" s="579"/>
      <c r="TG418" s="579"/>
      <c r="TH418" s="579"/>
      <c r="TI418" s="579"/>
      <c r="TJ418" s="579"/>
      <c r="TK418" s="579"/>
      <c r="TL418" s="579"/>
      <c r="TM418" s="579"/>
      <c r="TN418" s="579"/>
      <c r="TO418" s="579"/>
      <c r="TP418" s="579"/>
      <c r="TQ418" s="579"/>
      <c r="TR418" s="579"/>
      <c r="TS418" s="579"/>
      <c r="TT418" s="579"/>
      <c r="TU418" s="579"/>
      <c r="TV418" s="579"/>
      <c r="TW418" s="579"/>
      <c r="TX418" s="579"/>
      <c r="TY418" s="579"/>
      <c r="TZ418" s="579"/>
      <c r="UA418" s="579"/>
      <c r="UB418" s="579"/>
      <c r="UC418" s="579"/>
      <c r="UD418" s="579"/>
      <c r="UE418" s="579"/>
      <c r="UF418" s="579"/>
      <c r="UG418" s="579"/>
      <c r="UH418" s="579"/>
      <c r="UI418" s="579"/>
      <c r="UJ418" s="579"/>
      <c r="UK418" s="579"/>
      <c r="UL418" s="579"/>
      <c r="UM418" s="579"/>
      <c r="UN418" s="579"/>
      <c r="UO418" s="579"/>
      <c r="UP418" s="579"/>
      <c r="UQ418" s="579"/>
      <c r="UR418" s="579"/>
      <c r="US418" s="579"/>
      <c r="UT418" s="579"/>
      <c r="UU418" s="579"/>
      <c r="UV418" s="579"/>
      <c r="UW418" s="579"/>
      <c r="UX418" s="579"/>
      <c r="UY418" s="579"/>
      <c r="UZ418" s="579"/>
      <c r="VA418" s="579"/>
      <c r="VB418" s="579"/>
      <c r="VC418" s="579"/>
      <c r="VD418" s="579"/>
      <c r="VE418" s="579"/>
      <c r="VF418" s="579"/>
      <c r="VG418" s="579"/>
      <c r="VH418" s="579"/>
      <c r="VI418" s="579"/>
      <c r="VJ418" s="579"/>
      <c r="VK418" s="579"/>
      <c r="VL418" s="579"/>
      <c r="VM418" s="579"/>
      <c r="VN418" s="579"/>
      <c r="VO418" s="579"/>
      <c r="VP418" s="579"/>
      <c r="VQ418" s="579"/>
      <c r="VR418" s="579"/>
      <c r="VS418" s="579"/>
      <c r="VT418" s="579"/>
      <c r="VU418" s="579"/>
      <c r="VV418" s="579"/>
      <c r="VW418" s="579"/>
      <c r="VX418" s="579"/>
      <c r="VY418" s="579"/>
      <c r="VZ418" s="579"/>
      <c r="WA418" s="579"/>
      <c r="WB418" s="579"/>
      <c r="WC418" s="579"/>
      <c r="WD418" s="579"/>
      <c r="WE418" s="579"/>
      <c r="WF418" s="579"/>
      <c r="WG418" s="579"/>
      <c r="WH418" s="579"/>
      <c r="WI418" s="579"/>
      <c r="WJ418" s="579"/>
      <c r="WK418" s="579"/>
      <c r="WL418" s="579"/>
      <c r="WM418" s="579"/>
      <c r="WN418" s="579"/>
      <c r="WO418" s="579"/>
      <c r="WP418" s="579"/>
      <c r="WQ418" s="579"/>
      <c r="WR418" s="579"/>
      <c r="WS418" s="579"/>
      <c r="WT418" s="579"/>
      <c r="WU418" s="579"/>
      <c r="WV418" s="579"/>
      <c r="WW418" s="579"/>
      <c r="WX418" s="579"/>
      <c r="WY418" s="579"/>
      <c r="WZ418" s="579"/>
      <c r="XA418" s="579"/>
      <c r="XB418" s="579"/>
      <c r="XC418" s="579"/>
      <c r="XD418" s="579"/>
      <c r="XE418" s="579"/>
      <c r="XF418" s="579"/>
      <c r="XG418" s="579"/>
      <c r="XH418" s="579"/>
      <c r="XI418" s="579"/>
      <c r="XJ418" s="579"/>
      <c r="XK418" s="579"/>
      <c r="XL418" s="579"/>
      <c r="XM418" s="579"/>
      <c r="XN418" s="579"/>
      <c r="XO418" s="579"/>
      <c r="XP418" s="579"/>
      <c r="XQ418" s="579"/>
      <c r="XR418" s="579"/>
      <c r="XS418" s="579"/>
      <c r="XT418" s="579"/>
      <c r="XU418" s="579"/>
      <c r="XV418" s="579"/>
      <c r="XW418" s="579"/>
      <c r="XX418" s="579"/>
      <c r="XY418" s="579"/>
      <c r="XZ418" s="579"/>
      <c r="YA418" s="579"/>
      <c r="YB418" s="579"/>
      <c r="YC418" s="579"/>
      <c r="YD418" s="579"/>
      <c r="YE418" s="579"/>
      <c r="YF418" s="579"/>
      <c r="YG418" s="579"/>
      <c r="YH418" s="579"/>
      <c r="YI418" s="579"/>
      <c r="YJ418" s="579"/>
      <c r="YK418" s="579"/>
      <c r="YL418" s="579"/>
      <c r="YM418" s="579"/>
      <c r="YN418" s="579"/>
      <c r="YO418" s="579"/>
      <c r="YP418" s="579"/>
      <c r="YQ418" s="579"/>
      <c r="YR418" s="579"/>
      <c r="YS418" s="579"/>
      <c r="YT418" s="579"/>
      <c r="YU418" s="579"/>
      <c r="YV418" s="579"/>
      <c r="YW418" s="579"/>
      <c r="YX418" s="579"/>
      <c r="YY418" s="579"/>
      <c r="YZ418" s="579"/>
      <c r="ZA418" s="579"/>
      <c r="ZB418" s="579"/>
      <c r="ZC418" s="579"/>
      <c r="ZD418" s="579"/>
      <c r="ZE418" s="579"/>
      <c r="ZF418" s="579"/>
      <c r="ZG418" s="579"/>
      <c r="ZH418" s="579"/>
      <c r="ZI418" s="579"/>
      <c r="ZJ418" s="579"/>
      <c r="ZK418" s="579"/>
      <c r="ZL418" s="579"/>
      <c r="ZM418" s="579"/>
      <c r="ZN418" s="579"/>
      <c r="ZO418" s="579"/>
      <c r="ZP418" s="579"/>
      <c r="ZQ418" s="579"/>
      <c r="ZR418" s="579"/>
      <c r="ZS418" s="579"/>
      <c r="ZT418" s="579"/>
      <c r="ZU418" s="579"/>
      <c r="ZV418" s="579"/>
      <c r="ZW418" s="579"/>
      <c r="ZX418" s="579"/>
      <c r="ZY418" s="579"/>
      <c r="ZZ418" s="579"/>
      <c r="AAA418" s="579"/>
      <c r="AAB418" s="579"/>
      <c r="AAC418" s="579"/>
      <c r="AAD418" s="579"/>
      <c r="AAE418" s="579"/>
      <c r="AAF418" s="579"/>
      <c r="AAG418" s="579"/>
      <c r="AAH418" s="579"/>
      <c r="AAI418" s="579"/>
      <c r="AAJ418" s="579"/>
      <c r="AAK418" s="579"/>
      <c r="AAL418" s="579"/>
      <c r="AAM418" s="579"/>
      <c r="AAN418" s="579"/>
      <c r="AAO418" s="579"/>
      <c r="AAP418" s="579"/>
      <c r="AAQ418" s="579"/>
      <c r="AAR418" s="579"/>
      <c r="AAS418" s="579"/>
      <c r="AAT418" s="579"/>
      <c r="AAU418" s="579"/>
      <c r="AAV418" s="579"/>
      <c r="AAW418" s="579"/>
      <c r="AAX418" s="579"/>
      <c r="AAY418" s="579"/>
      <c r="AAZ418" s="579"/>
      <c r="ABA418" s="579"/>
      <c r="ABB418" s="579"/>
      <c r="ABC418" s="579"/>
      <c r="ABD418" s="579"/>
      <c r="ABE418" s="579"/>
      <c r="ABF418" s="579"/>
      <c r="ABG418" s="579"/>
    </row>
    <row r="419" spans="1:735" s="246" customFormat="1" ht="21" thickBot="1" x14ac:dyDescent="0.35">
      <c r="A419" s="230"/>
      <c r="B419" s="139" t="s">
        <v>334</v>
      </c>
      <c r="C419" s="242">
        <f>SUM(C420:C423)</f>
        <v>10752956</v>
      </c>
      <c r="D419" s="242">
        <f>SUM(D420:D423)</f>
        <v>10852956</v>
      </c>
      <c r="E419" s="242">
        <v>3288514.39</v>
      </c>
      <c r="F419" s="705">
        <f>SUM(E420:E423)</f>
        <v>3288514.39</v>
      </c>
      <c r="G419" s="571">
        <f>E419/C419*100</f>
        <v>30.582422080030831</v>
      </c>
      <c r="H419" s="181">
        <f>E419/D419*100</f>
        <v>30.300633209975235</v>
      </c>
      <c r="I419" s="181">
        <f>E419/J419*100</f>
        <v>94.716051506389348</v>
      </c>
      <c r="J419" s="14">
        <v>3471971.58</v>
      </c>
      <c r="K419" s="220"/>
      <c r="L419" s="220"/>
      <c r="M419" s="220"/>
      <c r="N419" s="220"/>
      <c r="O419" s="220"/>
      <c r="P419" s="220"/>
      <c r="Q419" s="220"/>
      <c r="R419" s="220"/>
      <c r="S419" s="220"/>
      <c r="T419" s="220"/>
      <c r="U419" s="220"/>
      <c r="V419" s="220"/>
      <c r="W419" s="220"/>
      <c r="X419" s="220"/>
      <c r="Y419" s="220"/>
      <c r="Z419" s="220"/>
      <c r="AA419" s="220"/>
      <c r="AB419" s="220"/>
      <c r="AC419" s="220"/>
      <c r="AD419" s="220"/>
      <c r="AE419" s="220"/>
      <c r="AF419" s="220"/>
      <c r="AG419" s="220"/>
      <c r="AH419" s="220"/>
      <c r="AI419" s="220"/>
      <c r="AJ419" s="220"/>
      <c r="AK419" s="220"/>
      <c r="AL419" s="220"/>
      <c r="AM419" s="220"/>
      <c r="AN419" s="220"/>
      <c r="AO419" s="220"/>
      <c r="AP419" s="220"/>
      <c r="AQ419" s="220"/>
      <c r="AR419" s="220"/>
      <c r="AS419" s="220"/>
      <c r="AT419" s="220"/>
      <c r="AU419" s="220"/>
      <c r="AV419" s="220"/>
      <c r="AW419" s="220"/>
      <c r="AX419" s="220"/>
      <c r="AY419" s="220"/>
      <c r="AZ419" s="220"/>
      <c r="BA419" s="220"/>
      <c r="BB419" s="220"/>
      <c r="BC419" s="220"/>
      <c r="BD419" s="220"/>
      <c r="BE419" s="220"/>
      <c r="BF419" s="220"/>
      <c r="BG419" s="220"/>
      <c r="BH419" s="220"/>
      <c r="BI419" s="220"/>
      <c r="BJ419" s="220"/>
      <c r="BK419" s="220"/>
      <c r="BL419" s="220"/>
      <c r="BM419" s="220"/>
      <c r="BN419" s="220"/>
      <c r="BO419" s="220"/>
      <c r="BP419" s="220"/>
      <c r="BQ419" s="220"/>
      <c r="BR419" s="220"/>
      <c r="BS419" s="220"/>
      <c r="BT419" s="220"/>
      <c r="BU419" s="220"/>
      <c r="BV419" s="220"/>
      <c r="BW419" s="220"/>
      <c r="BX419" s="220"/>
      <c r="BY419" s="220"/>
      <c r="BZ419" s="220"/>
      <c r="CA419" s="220"/>
      <c r="CB419" s="220"/>
      <c r="CC419" s="220"/>
      <c r="CD419" s="220"/>
      <c r="CE419" s="220"/>
      <c r="CF419" s="220"/>
      <c r="CG419" s="220"/>
      <c r="CH419" s="220"/>
      <c r="CI419" s="220"/>
      <c r="CJ419" s="220"/>
      <c r="CK419" s="220"/>
      <c r="CL419" s="220"/>
      <c r="CM419" s="220"/>
      <c r="CN419" s="220"/>
      <c r="CO419" s="220"/>
      <c r="CP419" s="220"/>
      <c r="CQ419" s="220"/>
      <c r="CR419" s="220"/>
      <c r="CS419" s="220"/>
      <c r="CT419" s="220"/>
      <c r="CU419" s="220"/>
      <c r="CV419" s="220"/>
      <c r="CW419" s="220"/>
      <c r="CX419" s="220"/>
      <c r="CY419" s="220"/>
      <c r="CZ419" s="220"/>
      <c r="DA419" s="220"/>
      <c r="DB419" s="220"/>
      <c r="DC419" s="220"/>
      <c r="DD419" s="220"/>
      <c r="DE419" s="220"/>
      <c r="DF419" s="220"/>
      <c r="DG419" s="220"/>
      <c r="DH419" s="220"/>
      <c r="DI419" s="220"/>
      <c r="DJ419" s="220"/>
      <c r="DK419" s="220"/>
      <c r="DL419" s="220"/>
      <c r="DM419" s="220"/>
      <c r="DN419" s="220"/>
      <c r="DO419" s="220"/>
      <c r="DP419" s="220"/>
      <c r="DQ419" s="220"/>
      <c r="DR419" s="220"/>
      <c r="DS419" s="220"/>
      <c r="DT419" s="220"/>
      <c r="DU419" s="220"/>
      <c r="DV419" s="220"/>
      <c r="DW419" s="220"/>
      <c r="DX419" s="220"/>
      <c r="DY419" s="220"/>
      <c r="DZ419" s="220"/>
      <c r="EA419" s="220"/>
      <c r="EB419" s="220"/>
      <c r="EC419" s="220"/>
      <c r="ED419" s="220"/>
      <c r="EE419" s="220"/>
      <c r="EF419" s="220"/>
      <c r="EG419" s="220"/>
      <c r="EH419" s="220"/>
      <c r="EI419" s="220"/>
      <c r="EJ419" s="220"/>
      <c r="EK419" s="220"/>
      <c r="EL419" s="220"/>
      <c r="EM419" s="220"/>
      <c r="EN419" s="220"/>
      <c r="EO419" s="220"/>
      <c r="EP419" s="220"/>
      <c r="EQ419" s="220"/>
      <c r="ER419" s="220"/>
      <c r="ES419" s="220"/>
      <c r="ET419" s="220"/>
      <c r="EU419" s="220"/>
      <c r="EV419" s="220"/>
      <c r="EW419" s="220"/>
      <c r="EX419" s="220"/>
      <c r="EY419" s="220"/>
      <c r="EZ419" s="220"/>
      <c r="FA419" s="220"/>
      <c r="FB419" s="220"/>
      <c r="FC419" s="220"/>
      <c r="FD419" s="220"/>
      <c r="FE419" s="220"/>
      <c r="FF419" s="220"/>
      <c r="FG419" s="220"/>
      <c r="FH419" s="220"/>
      <c r="FI419" s="220"/>
      <c r="FJ419" s="220"/>
      <c r="FK419" s="220"/>
      <c r="FL419" s="220"/>
      <c r="FM419" s="220"/>
      <c r="FN419" s="220"/>
      <c r="FO419" s="220"/>
      <c r="FP419" s="220"/>
      <c r="FQ419" s="220"/>
      <c r="FR419" s="220"/>
      <c r="FS419" s="220"/>
      <c r="FT419" s="220"/>
      <c r="FU419" s="220"/>
      <c r="FV419" s="220"/>
      <c r="FW419" s="220"/>
      <c r="FX419" s="220"/>
      <c r="FY419" s="220"/>
      <c r="FZ419" s="220"/>
      <c r="GA419" s="220"/>
      <c r="GB419" s="220"/>
      <c r="GC419" s="220"/>
      <c r="GD419" s="220"/>
      <c r="GE419" s="220"/>
      <c r="GF419" s="220"/>
      <c r="GG419" s="220"/>
      <c r="GH419" s="220"/>
      <c r="GI419" s="220"/>
      <c r="GJ419" s="220"/>
      <c r="GK419" s="220"/>
      <c r="GL419" s="220"/>
      <c r="GM419" s="220"/>
      <c r="GN419" s="220"/>
      <c r="GO419" s="220"/>
      <c r="GP419" s="220"/>
      <c r="GQ419" s="220"/>
      <c r="GR419" s="220"/>
      <c r="GS419" s="220"/>
      <c r="GT419" s="220"/>
      <c r="GU419" s="220"/>
      <c r="GV419" s="220"/>
      <c r="GW419" s="220"/>
      <c r="GX419" s="220"/>
      <c r="GY419" s="220"/>
      <c r="GZ419" s="220"/>
      <c r="HA419" s="220"/>
      <c r="HB419" s="220"/>
      <c r="HC419" s="220"/>
      <c r="HD419" s="220"/>
      <c r="HE419" s="220"/>
      <c r="HF419" s="220"/>
      <c r="HG419" s="220"/>
      <c r="HH419" s="220"/>
      <c r="HI419" s="220"/>
      <c r="HJ419" s="220"/>
      <c r="HK419" s="220"/>
      <c r="HL419" s="220"/>
      <c r="HM419" s="220"/>
      <c r="HN419" s="220"/>
      <c r="HO419" s="220"/>
      <c r="HP419" s="220"/>
      <c r="HQ419" s="220"/>
      <c r="HR419" s="220"/>
      <c r="HS419" s="220"/>
      <c r="HT419" s="220"/>
      <c r="HU419" s="220"/>
      <c r="HV419" s="220"/>
      <c r="HW419" s="220"/>
      <c r="HX419" s="220"/>
      <c r="HY419" s="220"/>
      <c r="HZ419" s="220"/>
      <c r="IA419" s="220"/>
      <c r="IB419" s="220"/>
      <c r="IC419" s="220"/>
      <c r="ID419" s="220"/>
      <c r="IE419" s="220"/>
      <c r="IF419" s="220"/>
      <c r="IG419" s="220"/>
      <c r="IH419" s="220"/>
      <c r="II419" s="220"/>
      <c r="IJ419" s="220"/>
      <c r="IK419" s="220"/>
      <c r="IL419" s="220"/>
      <c r="IM419" s="220"/>
      <c r="IN419" s="220"/>
      <c r="IO419" s="220"/>
      <c r="IP419" s="220"/>
      <c r="IQ419" s="220"/>
      <c r="IR419" s="220"/>
      <c r="IS419" s="220"/>
      <c r="IT419" s="220"/>
      <c r="IU419" s="220"/>
      <c r="IV419" s="220"/>
      <c r="IW419" s="220"/>
      <c r="IX419" s="220"/>
      <c r="IY419" s="220"/>
      <c r="IZ419" s="220"/>
      <c r="JA419" s="220"/>
      <c r="JB419" s="220"/>
      <c r="JC419" s="220"/>
      <c r="JD419" s="220"/>
      <c r="JE419" s="220"/>
      <c r="JF419" s="220"/>
      <c r="JG419" s="220"/>
      <c r="JH419" s="220"/>
      <c r="JI419" s="220"/>
      <c r="JJ419" s="220"/>
      <c r="JK419" s="220"/>
      <c r="JL419" s="220"/>
      <c r="JM419" s="220"/>
      <c r="JN419" s="220"/>
      <c r="JO419" s="220"/>
      <c r="JP419" s="220"/>
      <c r="JQ419" s="220"/>
      <c r="JR419" s="220"/>
      <c r="JS419" s="220"/>
      <c r="JT419" s="220"/>
      <c r="JU419" s="220"/>
      <c r="JV419" s="220"/>
      <c r="JW419" s="220"/>
      <c r="JX419" s="220"/>
      <c r="JY419" s="220"/>
      <c r="JZ419" s="220"/>
      <c r="KA419" s="220"/>
      <c r="KB419" s="220"/>
      <c r="KC419" s="220"/>
      <c r="KD419" s="220"/>
      <c r="KE419" s="220"/>
      <c r="KF419" s="220"/>
      <c r="KG419" s="220"/>
      <c r="KH419" s="220"/>
      <c r="KI419" s="220"/>
      <c r="KJ419" s="220"/>
      <c r="KK419" s="220"/>
      <c r="KL419" s="220"/>
      <c r="KM419" s="220"/>
      <c r="KN419" s="220"/>
      <c r="KO419" s="220"/>
      <c r="KP419" s="220"/>
      <c r="KQ419" s="220"/>
      <c r="KR419" s="220"/>
      <c r="KS419" s="220"/>
      <c r="KT419" s="220"/>
      <c r="KU419" s="220"/>
      <c r="KV419" s="220"/>
      <c r="KW419" s="220"/>
      <c r="KX419" s="220"/>
      <c r="KY419" s="220"/>
      <c r="KZ419" s="220"/>
      <c r="LA419" s="220"/>
      <c r="LB419" s="220"/>
      <c r="LC419" s="220"/>
      <c r="LD419" s="220"/>
      <c r="LE419" s="220"/>
      <c r="LF419" s="220"/>
      <c r="LG419" s="220"/>
      <c r="LH419" s="220"/>
      <c r="LI419" s="220"/>
      <c r="LJ419" s="220"/>
      <c r="LK419" s="220"/>
      <c r="LL419" s="220"/>
      <c r="LM419" s="220"/>
      <c r="LN419" s="220"/>
      <c r="LO419" s="220"/>
      <c r="LP419" s="220"/>
      <c r="LQ419" s="220"/>
      <c r="LR419" s="220"/>
      <c r="LS419" s="220"/>
      <c r="LT419" s="220"/>
      <c r="LU419" s="220"/>
      <c r="LV419" s="220"/>
      <c r="LW419" s="220"/>
      <c r="LX419" s="220"/>
      <c r="LY419" s="220"/>
      <c r="LZ419" s="220"/>
      <c r="MA419" s="220"/>
      <c r="MB419" s="220"/>
      <c r="MC419" s="220"/>
      <c r="MD419" s="220"/>
      <c r="ME419" s="220"/>
      <c r="MF419" s="220"/>
      <c r="MG419" s="220"/>
      <c r="MH419" s="220"/>
      <c r="MI419" s="220"/>
      <c r="MJ419" s="220"/>
      <c r="MK419" s="220"/>
      <c r="ML419" s="220"/>
      <c r="MM419" s="220"/>
      <c r="MN419" s="220"/>
      <c r="MO419" s="220"/>
      <c r="MP419" s="220"/>
      <c r="MQ419" s="220"/>
      <c r="MR419" s="220"/>
      <c r="MS419" s="220"/>
      <c r="MT419" s="220"/>
      <c r="MU419" s="220"/>
      <c r="MV419" s="220"/>
      <c r="MW419" s="220"/>
      <c r="MX419" s="220"/>
      <c r="MY419" s="220"/>
      <c r="MZ419" s="220"/>
      <c r="NA419" s="220"/>
      <c r="NB419" s="220"/>
      <c r="NC419" s="220"/>
      <c r="ND419" s="220"/>
      <c r="NE419" s="220"/>
      <c r="NF419" s="220"/>
      <c r="NG419" s="220"/>
      <c r="NH419" s="220"/>
      <c r="NI419" s="220"/>
      <c r="NJ419" s="220"/>
      <c r="NK419" s="220"/>
      <c r="NL419" s="220"/>
      <c r="NM419" s="220"/>
      <c r="NN419" s="220"/>
      <c r="NO419" s="220"/>
      <c r="NP419" s="220"/>
      <c r="NQ419" s="220"/>
      <c r="NR419" s="220"/>
      <c r="NS419" s="220"/>
      <c r="NT419" s="220"/>
      <c r="NU419" s="220"/>
      <c r="NV419" s="220"/>
      <c r="NW419" s="220"/>
      <c r="NX419" s="220"/>
      <c r="NY419" s="220"/>
      <c r="NZ419" s="220"/>
      <c r="OA419" s="220"/>
      <c r="OB419" s="220"/>
      <c r="OC419" s="220"/>
      <c r="OD419" s="220"/>
      <c r="OE419" s="220"/>
      <c r="OF419" s="220"/>
      <c r="OG419" s="220"/>
      <c r="OH419" s="220"/>
      <c r="OI419" s="220"/>
      <c r="OJ419" s="220"/>
      <c r="OK419" s="220"/>
      <c r="OL419" s="220"/>
      <c r="OM419" s="220"/>
      <c r="ON419" s="220"/>
      <c r="OO419" s="220"/>
      <c r="OP419" s="220"/>
      <c r="OQ419" s="220"/>
      <c r="OR419" s="220"/>
      <c r="OS419" s="220"/>
      <c r="OT419" s="220"/>
      <c r="OU419" s="220"/>
      <c r="OV419" s="220"/>
      <c r="OW419" s="220"/>
      <c r="OX419" s="220"/>
      <c r="OY419" s="220"/>
      <c r="OZ419" s="220"/>
      <c r="PA419" s="220"/>
      <c r="PB419" s="220"/>
      <c r="PC419" s="220"/>
      <c r="PD419" s="220"/>
      <c r="PE419" s="220"/>
      <c r="PF419" s="220"/>
      <c r="PG419" s="220"/>
      <c r="PH419" s="220"/>
      <c r="PI419" s="220"/>
      <c r="PJ419" s="220"/>
      <c r="PK419" s="220"/>
      <c r="PL419" s="220"/>
      <c r="PM419" s="220"/>
      <c r="PN419" s="220"/>
      <c r="PO419" s="220"/>
      <c r="PP419" s="220"/>
      <c r="PQ419" s="220"/>
      <c r="PR419" s="220"/>
      <c r="PS419" s="220"/>
      <c r="PT419" s="220"/>
      <c r="PU419" s="220"/>
      <c r="PV419" s="220"/>
      <c r="PW419" s="220"/>
      <c r="PX419" s="220"/>
      <c r="PY419" s="220"/>
      <c r="PZ419" s="220"/>
      <c r="QA419" s="220"/>
      <c r="QB419" s="220"/>
      <c r="QC419" s="220"/>
      <c r="QD419" s="220"/>
      <c r="QE419" s="220"/>
      <c r="QF419" s="220"/>
      <c r="QG419" s="220"/>
      <c r="QH419" s="220"/>
      <c r="QI419" s="220"/>
      <c r="QJ419" s="220"/>
      <c r="QK419" s="220"/>
      <c r="QL419" s="220"/>
      <c r="QM419" s="220"/>
      <c r="QN419" s="220"/>
      <c r="QO419" s="220"/>
      <c r="QP419" s="220"/>
      <c r="QQ419" s="220"/>
      <c r="QR419" s="220"/>
      <c r="QS419" s="220"/>
      <c r="QT419" s="220"/>
      <c r="QU419" s="220"/>
      <c r="QV419" s="220"/>
      <c r="QW419" s="220"/>
      <c r="QX419" s="220"/>
      <c r="QY419" s="220"/>
      <c r="QZ419" s="220"/>
      <c r="RA419" s="220"/>
      <c r="RB419" s="220"/>
      <c r="RC419" s="220"/>
      <c r="RD419" s="220"/>
      <c r="RE419" s="220"/>
      <c r="RF419" s="220"/>
      <c r="RG419" s="220"/>
      <c r="RH419" s="220"/>
      <c r="RI419" s="220"/>
      <c r="RJ419" s="220"/>
      <c r="RK419" s="220"/>
      <c r="RL419" s="220"/>
      <c r="RM419" s="220"/>
      <c r="RN419" s="220"/>
      <c r="RO419" s="220"/>
      <c r="RP419" s="220"/>
      <c r="RQ419" s="220"/>
      <c r="RR419" s="220"/>
      <c r="RS419" s="220"/>
      <c r="RT419" s="220"/>
      <c r="RU419" s="220"/>
      <c r="RV419" s="220"/>
      <c r="RW419" s="220"/>
      <c r="RX419" s="220"/>
      <c r="RY419" s="220"/>
      <c r="RZ419" s="220"/>
      <c r="SA419" s="220"/>
      <c r="SB419" s="220"/>
      <c r="SC419" s="220"/>
      <c r="SD419" s="220"/>
      <c r="SE419" s="220"/>
      <c r="SF419" s="220"/>
      <c r="SG419" s="220"/>
      <c r="SH419" s="220"/>
      <c r="SI419" s="220"/>
      <c r="SJ419" s="220"/>
      <c r="SK419" s="220"/>
      <c r="SL419" s="220"/>
      <c r="SM419" s="220"/>
      <c r="SN419" s="220"/>
      <c r="SO419" s="220"/>
      <c r="SP419" s="220"/>
      <c r="SQ419" s="220"/>
      <c r="SR419" s="220"/>
      <c r="SS419" s="220"/>
      <c r="ST419" s="220"/>
      <c r="SU419" s="220"/>
      <c r="SV419" s="220"/>
      <c r="SW419" s="220"/>
      <c r="SX419" s="220"/>
      <c r="SY419" s="220"/>
      <c r="SZ419" s="220"/>
      <c r="TA419" s="220"/>
      <c r="TB419" s="220"/>
      <c r="TC419" s="220"/>
      <c r="TD419" s="220"/>
      <c r="TE419" s="220"/>
      <c r="TF419" s="220"/>
      <c r="TG419" s="220"/>
      <c r="TH419" s="220"/>
      <c r="TI419" s="220"/>
      <c r="TJ419" s="220"/>
      <c r="TK419" s="220"/>
      <c r="TL419" s="220"/>
      <c r="TM419" s="220"/>
      <c r="TN419" s="220"/>
      <c r="TO419" s="220"/>
      <c r="TP419" s="220"/>
      <c r="TQ419" s="220"/>
      <c r="TR419" s="220"/>
      <c r="TS419" s="220"/>
      <c r="TT419" s="220"/>
      <c r="TU419" s="220"/>
      <c r="TV419" s="220"/>
      <c r="TW419" s="220"/>
      <c r="TX419" s="220"/>
      <c r="TY419" s="220"/>
      <c r="TZ419" s="220"/>
      <c r="UA419" s="220"/>
      <c r="UB419" s="220"/>
      <c r="UC419" s="220"/>
      <c r="UD419" s="220"/>
      <c r="UE419" s="220"/>
      <c r="UF419" s="220"/>
      <c r="UG419" s="220"/>
      <c r="UH419" s="220"/>
      <c r="UI419" s="220"/>
      <c r="UJ419" s="220"/>
      <c r="UK419" s="220"/>
      <c r="UL419" s="220"/>
      <c r="UM419" s="220"/>
      <c r="UN419" s="220"/>
      <c r="UO419" s="220"/>
      <c r="UP419" s="220"/>
      <c r="UQ419" s="220"/>
      <c r="UR419" s="220"/>
      <c r="US419" s="220"/>
      <c r="UT419" s="220"/>
      <c r="UU419" s="220"/>
      <c r="UV419" s="220"/>
      <c r="UW419" s="220"/>
      <c r="UX419" s="220"/>
      <c r="UY419" s="220"/>
      <c r="UZ419" s="220"/>
      <c r="VA419" s="220"/>
      <c r="VB419" s="220"/>
      <c r="VC419" s="220"/>
      <c r="VD419" s="220"/>
      <c r="VE419" s="220"/>
      <c r="VF419" s="220"/>
      <c r="VG419" s="220"/>
      <c r="VH419" s="220"/>
      <c r="VI419" s="220"/>
      <c r="VJ419" s="220"/>
      <c r="VK419" s="220"/>
      <c r="VL419" s="220"/>
      <c r="VM419" s="220"/>
      <c r="VN419" s="220"/>
      <c r="VO419" s="220"/>
      <c r="VP419" s="220"/>
      <c r="VQ419" s="220"/>
      <c r="VR419" s="220"/>
      <c r="VS419" s="220"/>
      <c r="VT419" s="220"/>
      <c r="VU419" s="220"/>
      <c r="VV419" s="220"/>
      <c r="VW419" s="220"/>
      <c r="VX419" s="220"/>
      <c r="VY419" s="220"/>
      <c r="VZ419" s="220"/>
      <c r="WA419" s="220"/>
      <c r="WB419" s="220"/>
      <c r="WC419" s="220"/>
      <c r="WD419" s="220"/>
      <c r="WE419" s="220"/>
      <c r="WF419" s="220"/>
      <c r="WG419" s="220"/>
      <c r="WH419" s="220"/>
      <c r="WI419" s="220"/>
      <c r="WJ419" s="220"/>
      <c r="WK419" s="220"/>
      <c r="WL419" s="220"/>
      <c r="WM419" s="220"/>
      <c r="WN419" s="220"/>
      <c r="WO419" s="220"/>
      <c r="WP419" s="220"/>
      <c r="WQ419" s="220"/>
      <c r="WR419" s="220"/>
      <c r="WS419" s="220"/>
      <c r="WT419" s="220"/>
      <c r="WU419" s="220"/>
      <c r="WV419" s="220"/>
      <c r="WW419" s="220"/>
      <c r="WX419" s="220"/>
      <c r="WY419" s="220"/>
      <c r="WZ419" s="220"/>
      <c r="XA419" s="220"/>
      <c r="XB419" s="220"/>
      <c r="XC419" s="220"/>
      <c r="XD419" s="220"/>
      <c r="XE419" s="220"/>
      <c r="XF419" s="220"/>
      <c r="XG419" s="220"/>
      <c r="XH419" s="220"/>
      <c r="XI419" s="220"/>
      <c r="XJ419" s="220"/>
      <c r="XK419" s="220"/>
      <c r="XL419" s="220"/>
      <c r="XM419" s="220"/>
      <c r="XN419" s="220"/>
      <c r="XO419" s="220"/>
      <c r="XP419" s="220"/>
      <c r="XQ419" s="220"/>
      <c r="XR419" s="220"/>
      <c r="XS419" s="220"/>
      <c r="XT419" s="220"/>
      <c r="XU419" s="220"/>
      <c r="XV419" s="220"/>
      <c r="XW419" s="220"/>
      <c r="XX419" s="220"/>
      <c r="XY419" s="220"/>
      <c r="XZ419" s="220"/>
      <c r="YA419" s="220"/>
      <c r="YB419" s="220"/>
      <c r="YC419" s="220"/>
      <c r="YD419" s="220"/>
      <c r="YE419" s="220"/>
      <c r="YF419" s="220"/>
      <c r="YG419" s="220"/>
      <c r="YH419" s="220"/>
      <c r="YI419" s="220"/>
      <c r="YJ419" s="220"/>
      <c r="YK419" s="220"/>
      <c r="YL419" s="220"/>
      <c r="YM419" s="220"/>
      <c r="YN419" s="220"/>
      <c r="YO419" s="220"/>
      <c r="YP419" s="220"/>
      <c r="YQ419" s="220"/>
      <c r="YR419" s="220"/>
      <c r="YS419" s="220"/>
      <c r="YT419" s="220"/>
      <c r="YU419" s="220"/>
      <c r="YV419" s="220"/>
      <c r="YW419" s="220"/>
      <c r="YX419" s="220"/>
      <c r="YY419" s="220"/>
      <c r="YZ419" s="220"/>
      <c r="ZA419" s="220"/>
      <c r="ZB419" s="220"/>
      <c r="ZC419" s="220"/>
      <c r="ZD419" s="220"/>
      <c r="ZE419" s="220"/>
      <c r="ZF419" s="220"/>
      <c r="ZG419" s="220"/>
      <c r="ZH419" s="220"/>
      <c r="ZI419" s="220"/>
      <c r="ZJ419" s="220"/>
      <c r="ZK419" s="220"/>
      <c r="ZL419" s="220"/>
      <c r="ZM419" s="220"/>
      <c r="ZN419" s="220"/>
      <c r="ZO419" s="220"/>
      <c r="ZP419" s="220"/>
      <c r="ZQ419" s="220"/>
      <c r="ZR419" s="220"/>
      <c r="ZS419" s="220"/>
      <c r="ZT419" s="220"/>
      <c r="ZU419" s="220"/>
      <c r="ZV419" s="220"/>
      <c r="ZW419" s="220"/>
      <c r="ZX419" s="220"/>
      <c r="ZY419" s="220"/>
      <c r="ZZ419" s="220"/>
      <c r="AAA419" s="220"/>
      <c r="AAB419" s="220"/>
      <c r="AAC419" s="220"/>
      <c r="AAD419" s="220"/>
      <c r="AAE419" s="220"/>
      <c r="AAF419" s="220"/>
      <c r="AAG419" s="220"/>
      <c r="AAH419" s="220"/>
      <c r="AAI419" s="220"/>
      <c r="AAJ419" s="220"/>
      <c r="AAK419" s="220"/>
      <c r="AAL419" s="220"/>
      <c r="AAM419" s="220"/>
      <c r="AAN419" s="220"/>
      <c r="AAO419" s="220"/>
      <c r="AAP419" s="220"/>
      <c r="AAQ419" s="220"/>
      <c r="AAR419" s="220"/>
      <c r="AAS419" s="220"/>
      <c r="AAT419" s="220"/>
      <c r="AAU419" s="220"/>
      <c r="AAV419" s="220"/>
      <c r="AAW419" s="220"/>
      <c r="AAX419" s="220"/>
      <c r="AAY419" s="220"/>
      <c r="AAZ419" s="220"/>
      <c r="ABA419" s="220"/>
      <c r="ABB419" s="220"/>
      <c r="ABC419" s="220"/>
      <c r="ABD419" s="220"/>
      <c r="ABE419" s="220"/>
      <c r="ABF419" s="220"/>
      <c r="ABG419" s="220"/>
    </row>
    <row r="420" spans="1:735" s="246" customFormat="1" ht="24.75" x14ac:dyDescent="0.2">
      <c r="A420" s="248">
        <v>2141</v>
      </c>
      <c r="B420" s="175" t="s">
        <v>333</v>
      </c>
      <c r="C420" s="136">
        <v>1226000</v>
      </c>
      <c r="D420" s="136">
        <v>1226000</v>
      </c>
      <c r="E420" s="136">
        <v>259106.76</v>
      </c>
      <c r="F420" s="133"/>
      <c r="G420" s="120">
        <f t="shared" ref="G420:G423" si="153">E420/C420*100</f>
        <v>21.134319738988584</v>
      </c>
      <c r="H420" s="120">
        <f>E420/D420*100</f>
        <v>21.134319738988584</v>
      </c>
      <c r="I420" s="120">
        <f>E420/J420*100</f>
        <v>269.9921692851542</v>
      </c>
      <c r="J420" s="6">
        <v>95968.25</v>
      </c>
      <c r="K420" s="220"/>
      <c r="L420" s="220"/>
      <c r="M420" s="220"/>
      <c r="N420" s="220"/>
      <c r="O420" s="220"/>
      <c r="P420" s="220"/>
      <c r="Q420" s="220"/>
      <c r="R420" s="220"/>
      <c r="S420" s="220"/>
      <c r="T420" s="220"/>
      <c r="U420" s="220"/>
      <c r="V420" s="220"/>
      <c r="W420" s="220"/>
      <c r="X420" s="220"/>
      <c r="Y420" s="220"/>
      <c r="Z420" s="220"/>
      <c r="AA420" s="220"/>
      <c r="AB420" s="220"/>
      <c r="AC420" s="220"/>
      <c r="AD420" s="220"/>
      <c r="AE420" s="220"/>
      <c r="AF420" s="220"/>
      <c r="AG420" s="220"/>
      <c r="AH420" s="220"/>
      <c r="AI420" s="220"/>
      <c r="AJ420" s="220"/>
      <c r="AK420" s="220"/>
      <c r="AL420" s="220"/>
      <c r="AM420" s="220"/>
      <c r="AN420" s="220"/>
      <c r="AO420" s="220"/>
      <c r="AP420" s="220"/>
      <c r="AQ420" s="220"/>
      <c r="AR420" s="220"/>
      <c r="AS420" s="220"/>
      <c r="AT420" s="220"/>
      <c r="AU420" s="220"/>
      <c r="AV420" s="220"/>
      <c r="AW420" s="220"/>
      <c r="AX420" s="220"/>
      <c r="AY420" s="220"/>
      <c r="AZ420" s="220"/>
      <c r="BA420" s="220"/>
      <c r="BB420" s="220"/>
      <c r="BC420" s="220"/>
      <c r="BD420" s="220"/>
      <c r="BE420" s="220"/>
      <c r="BF420" s="220"/>
      <c r="BG420" s="220"/>
      <c r="BH420" s="220"/>
      <c r="BI420" s="220"/>
      <c r="BJ420" s="220"/>
      <c r="BK420" s="220"/>
      <c r="BL420" s="220"/>
      <c r="BM420" s="220"/>
      <c r="BN420" s="220"/>
      <c r="BO420" s="220"/>
      <c r="BP420" s="220"/>
      <c r="BQ420" s="220"/>
      <c r="BR420" s="220"/>
      <c r="BS420" s="220"/>
      <c r="BT420" s="220"/>
      <c r="BU420" s="220"/>
      <c r="BV420" s="220"/>
      <c r="BW420" s="220"/>
      <c r="BX420" s="220"/>
      <c r="BY420" s="220"/>
      <c r="BZ420" s="220"/>
      <c r="CA420" s="220"/>
      <c r="CB420" s="220"/>
      <c r="CC420" s="220"/>
      <c r="CD420" s="220"/>
      <c r="CE420" s="220"/>
      <c r="CF420" s="220"/>
      <c r="CG420" s="220"/>
      <c r="CH420" s="220"/>
      <c r="CI420" s="220"/>
      <c r="CJ420" s="220"/>
      <c r="CK420" s="220"/>
      <c r="CL420" s="220"/>
      <c r="CM420" s="220"/>
      <c r="CN420" s="220"/>
      <c r="CO420" s="220"/>
      <c r="CP420" s="220"/>
      <c r="CQ420" s="220"/>
      <c r="CR420" s="220"/>
      <c r="CS420" s="220"/>
      <c r="CT420" s="220"/>
      <c r="CU420" s="220"/>
      <c r="CV420" s="220"/>
      <c r="CW420" s="220"/>
      <c r="CX420" s="220"/>
      <c r="CY420" s="220"/>
      <c r="CZ420" s="220"/>
      <c r="DA420" s="220"/>
      <c r="DB420" s="220"/>
      <c r="DC420" s="220"/>
      <c r="DD420" s="220"/>
      <c r="DE420" s="220"/>
      <c r="DF420" s="220"/>
      <c r="DG420" s="220"/>
      <c r="DH420" s="220"/>
      <c r="DI420" s="220"/>
      <c r="DJ420" s="220"/>
      <c r="DK420" s="220"/>
      <c r="DL420" s="220"/>
      <c r="DM420" s="220"/>
      <c r="DN420" s="220"/>
      <c r="DO420" s="220"/>
      <c r="DP420" s="220"/>
      <c r="DQ420" s="220"/>
      <c r="DR420" s="220"/>
      <c r="DS420" s="220"/>
      <c r="DT420" s="220"/>
      <c r="DU420" s="220"/>
      <c r="DV420" s="220"/>
      <c r="DW420" s="220"/>
      <c r="DX420" s="220"/>
      <c r="DY420" s="220"/>
      <c r="DZ420" s="220"/>
      <c r="EA420" s="220"/>
      <c r="EB420" s="220"/>
      <c r="EC420" s="220"/>
      <c r="ED420" s="220"/>
      <c r="EE420" s="220"/>
      <c r="EF420" s="220"/>
      <c r="EG420" s="220"/>
      <c r="EH420" s="220"/>
      <c r="EI420" s="220"/>
      <c r="EJ420" s="220"/>
      <c r="EK420" s="220"/>
      <c r="EL420" s="220"/>
      <c r="EM420" s="220"/>
      <c r="EN420" s="220"/>
      <c r="EO420" s="220"/>
      <c r="EP420" s="220"/>
      <c r="EQ420" s="220"/>
      <c r="ER420" s="220"/>
      <c r="ES420" s="220"/>
      <c r="ET420" s="220"/>
      <c r="EU420" s="220"/>
      <c r="EV420" s="220"/>
      <c r="EW420" s="220"/>
      <c r="EX420" s="220"/>
      <c r="EY420" s="220"/>
      <c r="EZ420" s="220"/>
      <c r="FA420" s="220"/>
      <c r="FB420" s="220"/>
      <c r="FC420" s="220"/>
      <c r="FD420" s="220"/>
      <c r="FE420" s="220"/>
      <c r="FF420" s="220"/>
      <c r="FG420" s="220"/>
      <c r="FH420" s="220"/>
      <c r="FI420" s="220"/>
      <c r="FJ420" s="220"/>
      <c r="FK420" s="220"/>
      <c r="FL420" s="220"/>
      <c r="FM420" s="220"/>
      <c r="FN420" s="220"/>
      <c r="FO420" s="220"/>
      <c r="FP420" s="220"/>
      <c r="FQ420" s="220"/>
      <c r="FR420" s="220"/>
      <c r="FS420" s="220"/>
      <c r="FT420" s="220"/>
      <c r="FU420" s="220"/>
      <c r="FV420" s="220"/>
      <c r="FW420" s="220"/>
      <c r="FX420" s="220"/>
      <c r="FY420" s="220"/>
      <c r="FZ420" s="220"/>
      <c r="GA420" s="220"/>
      <c r="GB420" s="220"/>
      <c r="GC420" s="220"/>
      <c r="GD420" s="220"/>
      <c r="GE420" s="220"/>
      <c r="GF420" s="220"/>
      <c r="GG420" s="220"/>
      <c r="GH420" s="220"/>
      <c r="GI420" s="220"/>
      <c r="GJ420" s="220"/>
      <c r="GK420" s="220"/>
      <c r="GL420" s="220"/>
      <c r="GM420" s="220"/>
      <c r="GN420" s="220"/>
      <c r="GO420" s="220"/>
      <c r="GP420" s="220"/>
      <c r="GQ420" s="220"/>
      <c r="GR420" s="220"/>
      <c r="GS420" s="220"/>
      <c r="GT420" s="220"/>
      <c r="GU420" s="220"/>
      <c r="GV420" s="220"/>
      <c r="GW420" s="220"/>
      <c r="GX420" s="220"/>
      <c r="GY420" s="220"/>
      <c r="GZ420" s="220"/>
      <c r="HA420" s="220"/>
      <c r="HB420" s="220"/>
      <c r="HC420" s="220"/>
      <c r="HD420" s="220"/>
      <c r="HE420" s="220"/>
      <c r="HF420" s="220"/>
      <c r="HG420" s="220"/>
      <c r="HH420" s="220"/>
      <c r="HI420" s="220"/>
      <c r="HJ420" s="220"/>
      <c r="HK420" s="220"/>
      <c r="HL420" s="220"/>
      <c r="HM420" s="220"/>
      <c r="HN420" s="220"/>
      <c r="HO420" s="220"/>
      <c r="HP420" s="220"/>
      <c r="HQ420" s="220"/>
      <c r="HR420" s="220"/>
      <c r="HS420" s="220"/>
      <c r="HT420" s="220"/>
      <c r="HU420" s="220"/>
      <c r="HV420" s="220"/>
      <c r="HW420" s="220"/>
      <c r="HX420" s="220"/>
      <c r="HY420" s="220"/>
      <c r="HZ420" s="220"/>
      <c r="IA420" s="220"/>
      <c r="IB420" s="220"/>
      <c r="IC420" s="220"/>
      <c r="ID420" s="220"/>
      <c r="IE420" s="220"/>
      <c r="IF420" s="220"/>
      <c r="IG420" s="220"/>
      <c r="IH420" s="220"/>
      <c r="II420" s="220"/>
      <c r="IJ420" s="220"/>
      <c r="IK420" s="220"/>
      <c r="IL420" s="220"/>
      <c r="IM420" s="220"/>
      <c r="IN420" s="220"/>
      <c r="IO420" s="220"/>
      <c r="IP420" s="220"/>
      <c r="IQ420" s="220"/>
      <c r="IR420" s="220"/>
      <c r="IS420" s="220"/>
      <c r="IT420" s="220"/>
      <c r="IU420" s="220"/>
      <c r="IV420" s="220"/>
      <c r="IW420" s="220"/>
      <c r="IX420" s="220"/>
      <c r="IY420" s="220"/>
      <c r="IZ420" s="220"/>
      <c r="JA420" s="220"/>
      <c r="JB420" s="220"/>
      <c r="JC420" s="220"/>
      <c r="JD420" s="220"/>
      <c r="JE420" s="220"/>
      <c r="JF420" s="220"/>
      <c r="JG420" s="220"/>
      <c r="JH420" s="220"/>
      <c r="JI420" s="220"/>
      <c r="JJ420" s="220"/>
      <c r="JK420" s="220"/>
      <c r="JL420" s="220"/>
      <c r="JM420" s="220"/>
      <c r="JN420" s="220"/>
      <c r="JO420" s="220"/>
      <c r="JP420" s="220"/>
      <c r="JQ420" s="220"/>
      <c r="JR420" s="220"/>
      <c r="JS420" s="220"/>
      <c r="JT420" s="220"/>
      <c r="JU420" s="220"/>
      <c r="JV420" s="220"/>
      <c r="JW420" s="220"/>
      <c r="JX420" s="220"/>
      <c r="JY420" s="220"/>
      <c r="JZ420" s="220"/>
      <c r="KA420" s="220"/>
      <c r="KB420" s="220"/>
      <c r="KC420" s="220"/>
      <c r="KD420" s="220"/>
      <c r="KE420" s="220"/>
      <c r="KF420" s="220"/>
      <c r="KG420" s="220"/>
      <c r="KH420" s="220"/>
      <c r="KI420" s="220"/>
      <c r="KJ420" s="220"/>
      <c r="KK420" s="220"/>
      <c r="KL420" s="220"/>
      <c r="KM420" s="220"/>
      <c r="KN420" s="220"/>
      <c r="KO420" s="220"/>
      <c r="KP420" s="220"/>
      <c r="KQ420" s="220"/>
      <c r="KR420" s="220"/>
      <c r="KS420" s="220"/>
      <c r="KT420" s="220"/>
      <c r="KU420" s="220"/>
      <c r="KV420" s="220"/>
      <c r="KW420" s="220"/>
      <c r="KX420" s="220"/>
      <c r="KY420" s="220"/>
      <c r="KZ420" s="220"/>
      <c r="LA420" s="220"/>
      <c r="LB420" s="220"/>
      <c r="LC420" s="220"/>
      <c r="LD420" s="220"/>
      <c r="LE420" s="220"/>
      <c r="LF420" s="220"/>
      <c r="LG420" s="220"/>
      <c r="LH420" s="220"/>
      <c r="LI420" s="220"/>
      <c r="LJ420" s="220"/>
      <c r="LK420" s="220"/>
      <c r="LL420" s="220"/>
      <c r="LM420" s="220"/>
      <c r="LN420" s="220"/>
      <c r="LO420" s="220"/>
      <c r="LP420" s="220"/>
      <c r="LQ420" s="220"/>
      <c r="LR420" s="220"/>
      <c r="LS420" s="220"/>
      <c r="LT420" s="220"/>
      <c r="LU420" s="220"/>
      <c r="LV420" s="220"/>
      <c r="LW420" s="220"/>
      <c r="LX420" s="220"/>
      <c r="LY420" s="220"/>
      <c r="LZ420" s="220"/>
      <c r="MA420" s="220"/>
      <c r="MB420" s="220"/>
      <c r="MC420" s="220"/>
      <c r="MD420" s="220"/>
      <c r="ME420" s="220"/>
      <c r="MF420" s="220"/>
      <c r="MG420" s="220"/>
      <c r="MH420" s="220"/>
      <c r="MI420" s="220"/>
      <c r="MJ420" s="220"/>
      <c r="MK420" s="220"/>
      <c r="ML420" s="220"/>
      <c r="MM420" s="220"/>
      <c r="MN420" s="220"/>
      <c r="MO420" s="220"/>
      <c r="MP420" s="220"/>
      <c r="MQ420" s="220"/>
      <c r="MR420" s="220"/>
      <c r="MS420" s="220"/>
      <c r="MT420" s="220"/>
      <c r="MU420" s="220"/>
      <c r="MV420" s="220"/>
      <c r="MW420" s="220"/>
      <c r="MX420" s="220"/>
      <c r="MY420" s="220"/>
      <c r="MZ420" s="220"/>
      <c r="NA420" s="220"/>
      <c r="NB420" s="220"/>
      <c r="NC420" s="220"/>
      <c r="ND420" s="220"/>
      <c r="NE420" s="220"/>
      <c r="NF420" s="220"/>
      <c r="NG420" s="220"/>
      <c r="NH420" s="220"/>
      <c r="NI420" s="220"/>
      <c r="NJ420" s="220"/>
      <c r="NK420" s="220"/>
      <c r="NL420" s="220"/>
      <c r="NM420" s="220"/>
      <c r="NN420" s="220"/>
      <c r="NO420" s="220"/>
      <c r="NP420" s="220"/>
      <c r="NQ420" s="220"/>
      <c r="NR420" s="220"/>
      <c r="NS420" s="220"/>
      <c r="NT420" s="220"/>
      <c r="NU420" s="220"/>
      <c r="NV420" s="220"/>
      <c r="NW420" s="220"/>
      <c r="NX420" s="220"/>
      <c r="NY420" s="220"/>
      <c r="NZ420" s="220"/>
      <c r="OA420" s="220"/>
      <c r="OB420" s="220"/>
      <c r="OC420" s="220"/>
      <c r="OD420" s="220"/>
      <c r="OE420" s="220"/>
      <c r="OF420" s="220"/>
      <c r="OG420" s="220"/>
      <c r="OH420" s="220"/>
      <c r="OI420" s="220"/>
      <c r="OJ420" s="220"/>
      <c r="OK420" s="220"/>
      <c r="OL420" s="220"/>
      <c r="OM420" s="220"/>
      <c r="ON420" s="220"/>
      <c r="OO420" s="220"/>
      <c r="OP420" s="220"/>
      <c r="OQ420" s="220"/>
      <c r="OR420" s="220"/>
      <c r="OS420" s="220"/>
      <c r="OT420" s="220"/>
      <c r="OU420" s="220"/>
      <c r="OV420" s="220"/>
      <c r="OW420" s="220"/>
      <c r="OX420" s="220"/>
      <c r="OY420" s="220"/>
      <c r="OZ420" s="220"/>
      <c r="PA420" s="220"/>
      <c r="PB420" s="220"/>
      <c r="PC420" s="220"/>
      <c r="PD420" s="220"/>
      <c r="PE420" s="220"/>
      <c r="PF420" s="220"/>
      <c r="PG420" s="220"/>
      <c r="PH420" s="220"/>
      <c r="PI420" s="220"/>
      <c r="PJ420" s="220"/>
      <c r="PK420" s="220"/>
      <c r="PL420" s="220"/>
      <c r="PM420" s="220"/>
      <c r="PN420" s="220"/>
      <c r="PO420" s="220"/>
      <c r="PP420" s="220"/>
      <c r="PQ420" s="220"/>
      <c r="PR420" s="220"/>
      <c r="PS420" s="220"/>
      <c r="PT420" s="220"/>
      <c r="PU420" s="220"/>
      <c r="PV420" s="220"/>
      <c r="PW420" s="220"/>
      <c r="PX420" s="220"/>
      <c r="PY420" s="220"/>
      <c r="PZ420" s="220"/>
      <c r="QA420" s="220"/>
      <c r="QB420" s="220"/>
      <c r="QC420" s="220"/>
      <c r="QD420" s="220"/>
      <c r="QE420" s="220"/>
      <c r="QF420" s="220"/>
      <c r="QG420" s="220"/>
      <c r="QH420" s="220"/>
      <c r="QI420" s="220"/>
      <c r="QJ420" s="220"/>
      <c r="QK420" s="220"/>
      <c r="QL420" s="220"/>
      <c r="QM420" s="220"/>
      <c r="QN420" s="220"/>
      <c r="QO420" s="220"/>
      <c r="QP420" s="220"/>
      <c r="QQ420" s="220"/>
      <c r="QR420" s="220"/>
      <c r="QS420" s="220"/>
      <c r="QT420" s="220"/>
      <c r="QU420" s="220"/>
      <c r="QV420" s="220"/>
      <c r="QW420" s="220"/>
      <c r="QX420" s="220"/>
      <c r="QY420" s="220"/>
      <c r="QZ420" s="220"/>
      <c r="RA420" s="220"/>
      <c r="RB420" s="220"/>
      <c r="RC420" s="220"/>
      <c r="RD420" s="220"/>
      <c r="RE420" s="220"/>
      <c r="RF420" s="220"/>
      <c r="RG420" s="220"/>
      <c r="RH420" s="220"/>
      <c r="RI420" s="220"/>
      <c r="RJ420" s="220"/>
      <c r="RK420" s="220"/>
      <c r="RL420" s="220"/>
      <c r="RM420" s="220"/>
      <c r="RN420" s="220"/>
      <c r="RO420" s="220"/>
      <c r="RP420" s="220"/>
      <c r="RQ420" s="220"/>
      <c r="RR420" s="220"/>
      <c r="RS420" s="220"/>
      <c r="RT420" s="220"/>
      <c r="RU420" s="220"/>
      <c r="RV420" s="220"/>
      <c r="RW420" s="220"/>
      <c r="RX420" s="220"/>
      <c r="RY420" s="220"/>
      <c r="RZ420" s="220"/>
      <c r="SA420" s="220"/>
      <c r="SB420" s="220"/>
      <c r="SC420" s="220"/>
      <c r="SD420" s="220"/>
      <c r="SE420" s="220"/>
      <c r="SF420" s="220"/>
      <c r="SG420" s="220"/>
      <c r="SH420" s="220"/>
      <c r="SI420" s="220"/>
      <c r="SJ420" s="220"/>
      <c r="SK420" s="220"/>
      <c r="SL420" s="220"/>
      <c r="SM420" s="220"/>
      <c r="SN420" s="220"/>
      <c r="SO420" s="220"/>
      <c r="SP420" s="220"/>
      <c r="SQ420" s="220"/>
      <c r="SR420" s="220"/>
      <c r="SS420" s="220"/>
      <c r="ST420" s="220"/>
      <c r="SU420" s="220"/>
      <c r="SV420" s="220"/>
      <c r="SW420" s="220"/>
      <c r="SX420" s="220"/>
      <c r="SY420" s="220"/>
      <c r="SZ420" s="220"/>
      <c r="TA420" s="220"/>
      <c r="TB420" s="220"/>
      <c r="TC420" s="220"/>
      <c r="TD420" s="220"/>
      <c r="TE420" s="220"/>
      <c r="TF420" s="220"/>
      <c r="TG420" s="220"/>
      <c r="TH420" s="220"/>
      <c r="TI420" s="220"/>
      <c r="TJ420" s="220"/>
      <c r="TK420" s="220"/>
      <c r="TL420" s="220"/>
      <c r="TM420" s="220"/>
      <c r="TN420" s="220"/>
      <c r="TO420" s="220"/>
      <c r="TP420" s="220"/>
      <c r="TQ420" s="220"/>
      <c r="TR420" s="220"/>
      <c r="TS420" s="220"/>
      <c r="TT420" s="220"/>
      <c r="TU420" s="220"/>
      <c r="TV420" s="220"/>
      <c r="TW420" s="220"/>
      <c r="TX420" s="220"/>
      <c r="TY420" s="220"/>
      <c r="TZ420" s="220"/>
      <c r="UA420" s="220"/>
      <c r="UB420" s="220"/>
      <c r="UC420" s="220"/>
      <c r="UD420" s="220"/>
      <c r="UE420" s="220"/>
      <c r="UF420" s="220"/>
      <c r="UG420" s="220"/>
      <c r="UH420" s="220"/>
      <c r="UI420" s="220"/>
      <c r="UJ420" s="220"/>
      <c r="UK420" s="220"/>
      <c r="UL420" s="220"/>
      <c r="UM420" s="220"/>
      <c r="UN420" s="220"/>
      <c r="UO420" s="220"/>
      <c r="UP420" s="220"/>
      <c r="UQ420" s="220"/>
      <c r="UR420" s="220"/>
      <c r="US420" s="220"/>
      <c r="UT420" s="220"/>
      <c r="UU420" s="220"/>
      <c r="UV420" s="220"/>
      <c r="UW420" s="220"/>
      <c r="UX420" s="220"/>
      <c r="UY420" s="220"/>
      <c r="UZ420" s="220"/>
      <c r="VA420" s="220"/>
      <c r="VB420" s="220"/>
      <c r="VC420" s="220"/>
      <c r="VD420" s="220"/>
      <c r="VE420" s="220"/>
      <c r="VF420" s="220"/>
      <c r="VG420" s="220"/>
      <c r="VH420" s="220"/>
      <c r="VI420" s="220"/>
      <c r="VJ420" s="220"/>
      <c r="VK420" s="220"/>
      <c r="VL420" s="220"/>
      <c r="VM420" s="220"/>
      <c r="VN420" s="220"/>
      <c r="VO420" s="220"/>
      <c r="VP420" s="220"/>
      <c r="VQ420" s="220"/>
      <c r="VR420" s="220"/>
      <c r="VS420" s="220"/>
      <c r="VT420" s="220"/>
      <c r="VU420" s="220"/>
      <c r="VV420" s="220"/>
      <c r="VW420" s="220"/>
      <c r="VX420" s="220"/>
      <c r="VY420" s="220"/>
      <c r="VZ420" s="220"/>
      <c r="WA420" s="220"/>
      <c r="WB420" s="220"/>
      <c r="WC420" s="220"/>
      <c r="WD420" s="220"/>
      <c r="WE420" s="220"/>
      <c r="WF420" s="220"/>
      <c r="WG420" s="220"/>
      <c r="WH420" s="220"/>
      <c r="WI420" s="220"/>
      <c r="WJ420" s="220"/>
      <c r="WK420" s="220"/>
      <c r="WL420" s="220"/>
      <c r="WM420" s="220"/>
      <c r="WN420" s="220"/>
      <c r="WO420" s="220"/>
      <c r="WP420" s="220"/>
      <c r="WQ420" s="220"/>
      <c r="WR420" s="220"/>
      <c r="WS420" s="220"/>
      <c r="WT420" s="220"/>
      <c r="WU420" s="220"/>
      <c r="WV420" s="220"/>
      <c r="WW420" s="220"/>
      <c r="WX420" s="220"/>
      <c r="WY420" s="220"/>
      <c r="WZ420" s="220"/>
      <c r="XA420" s="220"/>
      <c r="XB420" s="220"/>
      <c r="XC420" s="220"/>
      <c r="XD420" s="220"/>
      <c r="XE420" s="220"/>
      <c r="XF420" s="220"/>
      <c r="XG420" s="220"/>
      <c r="XH420" s="220"/>
      <c r="XI420" s="220"/>
      <c r="XJ420" s="220"/>
      <c r="XK420" s="220"/>
      <c r="XL420" s="220"/>
      <c r="XM420" s="220"/>
      <c r="XN420" s="220"/>
      <c r="XO420" s="220"/>
      <c r="XP420" s="220"/>
      <c r="XQ420" s="220"/>
      <c r="XR420" s="220"/>
      <c r="XS420" s="220"/>
      <c r="XT420" s="220"/>
      <c r="XU420" s="220"/>
      <c r="XV420" s="220"/>
      <c r="XW420" s="220"/>
      <c r="XX420" s="220"/>
      <c r="XY420" s="220"/>
      <c r="XZ420" s="220"/>
      <c r="YA420" s="220"/>
      <c r="YB420" s="220"/>
      <c r="YC420" s="220"/>
      <c r="YD420" s="220"/>
      <c r="YE420" s="220"/>
      <c r="YF420" s="220"/>
      <c r="YG420" s="220"/>
      <c r="YH420" s="220"/>
      <c r="YI420" s="220"/>
      <c r="YJ420" s="220"/>
      <c r="YK420" s="220"/>
      <c r="YL420" s="220"/>
      <c r="YM420" s="220"/>
      <c r="YN420" s="220"/>
      <c r="YO420" s="220"/>
      <c r="YP420" s="220"/>
      <c r="YQ420" s="220"/>
      <c r="YR420" s="220"/>
      <c r="YS420" s="220"/>
      <c r="YT420" s="220"/>
      <c r="YU420" s="220"/>
      <c r="YV420" s="220"/>
      <c r="YW420" s="220"/>
      <c r="YX420" s="220"/>
      <c r="YY420" s="220"/>
      <c r="YZ420" s="220"/>
      <c r="ZA420" s="220"/>
      <c r="ZB420" s="220"/>
      <c r="ZC420" s="220"/>
      <c r="ZD420" s="220"/>
      <c r="ZE420" s="220"/>
      <c r="ZF420" s="220"/>
      <c r="ZG420" s="220"/>
      <c r="ZH420" s="220"/>
      <c r="ZI420" s="220"/>
      <c r="ZJ420" s="220"/>
      <c r="ZK420" s="220"/>
      <c r="ZL420" s="220"/>
      <c r="ZM420" s="220"/>
      <c r="ZN420" s="220"/>
      <c r="ZO420" s="220"/>
      <c r="ZP420" s="220"/>
      <c r="ZQ420" s="220"/>
      <c r="ZR420" s="220"/>
      <c r="ZS420" s="220"/>
      <c r="ZT420" s="220"/>
      <c r="ZU420" s="220"/>
      <c r="ZV420" s="220"/>
      <c r="ZW420" s="220"/>
      <c r="ZX420" s="220"/>
      <c r="ZY420" s="220"/>
      <c r="ZZ420" s="220"/>
      <c r="AAA420" s="220"/>
      <c r="AAB420" s="220"/>
      <c r="AAC420" s="220"/>
      <c r="AAD420" s="220"/>
      <c r="AAE420" s="220"/>
      <c r="AAF420" s="220"/>
      <c r="AAG420" s="220"/>
      <c r="AAH420" s="220"/>
      <c r="AAI420" s="220"/>
      <c r="AAJ420" s="220"/>
      <c r="AAK420" s="220"/>
      <c r="AAL420" s="220"/>
      <c r="AAM420" s="220"/>
      <c r="AAN420" s="220"/>
      <c r="AAO420" s="220"/>
      <c r="AAP420" s="220"/>
      <c r="AAQ420" s="220"/>
      <c r="AAR420" s="220"/>
      <c r="AAS420" s="220"/>
      <c r="AAT420" s="220"/>
      <c r="AAU420" s="220"/>
      <c r="AAV420" s="220"/>
      <c r="AAW420" s="220"/>
      <c r="AAX420" s="220"/>
      <c r="AAY420" s="220"/>
      <c r="AAZ420" s="220"/>
      <c r="ABA420" s="220"/>
      <c r="ABB420" s="220"/>
      <c r="ABC420" s="220"/>
      <c r="ABD420" s="220"/>
      <c r="ABE420" s="220"/>
      <c r="ABF420" s="220"/>
      <c r="ABG420" s="220"/>
    </row>
    <row r="421" spans="1:735" s="246" customFormat="1" ht="60.75" x14ac:dyDescent="0.2">
      <c r="A421" s="180">
        <v>2143</v>
      </c>
      <c r="B421" s="247" t="s">
        <v>332</v>
      </c>
      <c r="C421" s="136">
        <v>8971956</v>
      </c>
      <c r="D421" s="136">
        <f>8971956+100000</f>
        <v>9071956</v>
      </c>
      <c r="E421" s="497">
        <v>3018611.82</v>
      </c>
      <c r="F421" s="495"/>
      <c r="G421" s="120">
        <f t="shared" si="153"/>
        <v>33.644969056914675</v>
      </c>
      <c r="H421" s="120">
        <f>E421/D421*100</f>
        <v>33.274101197139842</v>
      </c>
      <c r="I421" s="120">
        <f>E421/J421*100</f>
        <v>95.313803096031293</v>
      </c>
      <c r="J421" s="6">
        <v>3167024.84</v>
      </c>
      <c r="K421" s="220"/>
      <c r="L421" s="220"/>
      <c r="M421" s="220"/>
      <c r="N421" s="220"/>
      <c r="O421" s="220"/>
      <c r="P421" s="220"/>
      <c r="Q421" s="220"/>
      <c r="R421" s="220"/>
      <c r="S421" s="220"/>
      <c r="T421" s="220"/>
      <c r="U421" s="220"/>
      <c r="V421" s="220"/>
      <c r="W421" s="220"/>
      <c r="X421" s="220"/>
      <c r="Y421" s="220"/>
      <c r="Z421" s="220"/>
      <c r="AA421" s="220"/>
      <c r="AB421" s="220"/>
      <c r="AC421" s="220"/>
      <c r="AD421" s="220"/>
      <c r="AE421" s="220"/>
      <c r="AF421" s="220"/>
      <c r="AG421" s="220"/>
      <c r="AH421" s="220"/>
      <c r="AI421" s="220"/>
      <c r="AJ421" s="220"/>
      <c r="AK421" s="220"/>
      <c r="AL421" s="220"/>
      <c r="AM421" s="220"/>
      <c r="AN421" s="220"/>
      <c r="AO421" s="220"/>
      <c r="AP421" s="220"/>
      <c r="AQ421" s="220"/>
      <c r="AR421" s="220"/>
      <c r="AS421" s="220"/>
      <c r="AT421" s="220"/>
      <c r="AU421" s="220"/>
      <c r="AV421" s="220"/>
      <c r="AW421" s="220"/>
      <c r="AX421" s="220"/>
      <c r="AY421" s="220"/>
      <c r="AZ421" s="220"/>
      <c r="BA421" s="220"/>
      <c r="BB421" s="220"/>
      <c r="BC421" s="220"/>
      <c r="BD421" s="220"/>
      <c r="BE421" s="220"/>
      <c r="BF421" s="220"/>
      <c r="BG421" s="220"/>
      <c r="BH421" s="220"/>
      <c r="BI421" s="220"/>
      <c r="BJ421" s="220"/>
      <c r="BK421" s="220"/>
      <c r="BL421" s="220"/>
      <c r="BM421" s="220"/>
      <c r="BN421" s="220"/>
      <c r="BO421" s="220"/>
      <c r="BP421" s="220"/>
      <c r="BQ421" s="220"/>
      <c r="BR421" s="220"/>
      <c r="BS421" s="220"/>
      <c r="BT421" s="220"/>
      <c r="BU421" s="220"/>
      <c r="BV421" s="220"/>
      <c r="BW421" s="220"/>
      <c r="BX421" s="220"/>
      <c r="BY421" s="220"/>
      <c r="BZ421" s="220"/>
      <c r="CA421" s="220"/>
      <c r="CB421" s="220"/>
      <c r="CC421" s="220"/>
      <c r="CD421" s="220"/>
      <c r="CE421" s="220"/>
      <c r="CF421" s="220"/>
      <c r="CG421" s="220"/>
      <c r="CH421" s="220"/>
      <c r="CI421" s="220"/>
      <c r="CJ421" s="220"/>
      <c r="CK421" s="220"/>
      <c r="CL421" s="220"/>
      <c r="CM421" s="220"/>
      <c r="CN421" s="220"/>
      <c r="CO421" s="220"/>
      <c r="CP421" s="220"/>
      <c r="CQ421" s="220"/>
      <c r="CR421" s="220"/>
      <c r="CS421" s="220"/>
      <c r="CT421" s="220"/>
      <c r="CU421" s="220"/>
      <c r="CV421" s="220"/>
      <c r="CW421" s="220"/>
      <c r="CX421" s="220"/>
      <c r="CY421" s="220"/>
      <c r="CZ421" s="220"/>
      <c r="DA421" s="220"/>
      <c r="DB421" s="220"/>
      <c r="DC421" s="220"/>
      <c r="DD421" s="220"/>
      <c r="DE421" s="220"/>
      <c r="DF421" s="220"/>
      <c r="DG421" s="220"/>
      <c r="DH421" s="220"/>
      <c r="DI421" s="220"/>
      <c r="DJ421" s="220"/>
      <c r="DK421" s="220"/>
      <c r="DL421" s="220"/>
      <c r="DM421" s="220"/>
      <c r="DN421" s="220"/>
      <c r="DO421" s="220"/>
      <c r="DP421" s="220"/>
      <c r="DQ421" s="220"/>
      <c r="DR421" s="220"/>
      <c r="DS421" s="220"/>
      <c r="DT421" s="220"/>
      <c r="DU421" s="220"/>
      <c r="DV421" s="220"/>
      <c r="DW421" s="220"/>
      <c r="DX421" s="220"/>
      <c r="DY421" s="220"/>
      <c r="DZ421" s="220"/>
      <c r="EA421" s="220"/>
      <c r="EB421" s="220"/>
      <c r="EC421" s="220"/>
      <c r="ED421" s="220"/>
      <c r="EE421" s="220"/>
      <c r="EF421" s="220"/>
      <c r="EG421" s="220"/>
      <c r="EH421" s="220"/>
      <c r="EI421" s="220"/>
      <c r="EJ421" s="220"/>
      <c r="EK421" s="220"/>
      <c r="EL421" s="220"/>
      <c r="EM421" s="220"/>
      <c r="EN421" s="220"/>
      <c r="EO421" s="220"/>
      <c r="EP421" s="220"/>
      <c r="EQ421" s="220"/>
      <c r="ER421" s="220"/>
      <c r="ES421" s="220"/>
      <c r="ET421" s="220"/>
      <c r="EU421" s="220"/>
      <c r="EV421" s="220"/>
      <c r="EW421" s="220"/>
      <c r="EX421" s="220"/>
      <c r="EY421" s="220"/>
      <c r="EZ421" s="220"/>
      <c r="FA421" s="220"/>
      <c r="FB421" s="220"/>
      <c r="FC421" s="220"/>
      <c r="FD421" s="220"/>
      <c r="FE421" s="220"/>
      <c r="FF421" s="220"/>
      <c r="FG421" s="220"/>
      <c r="FH421" s="220"/>
      <c r="FI421" s="220"/>
      <c r="FJ421" s="220"/>
      <c r="FK421" s="220"/>
      <c r="FL421" s="220"/>
      <c r="FM421" s="220"/>
      <c r="FN421" s="220"/>
      <c r="FO421" s="220"/>
      <c r="FP421" s="220"/>
      <c r="FQ421" s="220"/>
      <c r="FR421" s="220"/>
      <c r="FS421" s="220"/>
      <c r="FT421" s="220"/>
      <c r="FU421" s="220"/>
      <c r="FV421" s="220"/>
      <c r="FW421" s="220"/>
      <c r="FX421" s="220"/>
      <c r="FY421" s="220"/>
      <c r="FZ421" s="220"/>
      <c r="GA421" s="220"/>
      <c r="GB421" s="220"/>
      <c r="GC421" s="220"/>
      <c r="GD421" s="220"/>
      <c r="GE421" s="220"/>
      <c r="GF421" s="220"/>
      <c r="GG421" s="220"/>
      <c r="GH421" s="220"/>
      <c r="GI421" s="220"/>
      <c r="GJ421" s="220"/>
      <c r="GK421" s="220"/>
      <c r="GL421" s="220"/>
      <c r="GM421" s="220"/>
      <c r="GN421" s="220"/>
      <c r="GO421" s="220"/>
      <c r="GP421" s="220"/>
      <c r="GQ421" s="220"/>
      <c r="GR421" s="220"/>
      <c r="GS421" s="220"/>
      <c r="GT421" s="220"/>
      <c r="GU421" s="220"/>
      <c r="GV421" s="220"/>
      <c r="GW421" s="220"/>
      <c r="GX421" s="220"/>
      <c r="GY421" s="220"/>
      <c r="GZ421" s="220"/>
      <c r="HA421" s="220"/>
      <c r="HB421" s="220"/>
      <c r="HC421" s="220"/>
      <c r="HD421" s="220"/>
      <c r="HE421" s="220"/>
      <c r="HF421" s="220"/>
      <c r="HG421" s="220"/>
      <c r="HH421" s="220"/>
      <c r="HI421" s="220"/>
      <c r="HJ421" s="220"/>
      <c r="HK421" s="220"/>
      <c r="HL421" s="220"/>
      <c r="HM421" s="220"/>
      <c r="HN421" s="220"/>
      <c r="HO421" s="220"/>
      <c r="HP421" s="220"/>
      <c r="HQ421" s="220"/>
      <c r="HR421" s="220"/>
      <c r="HS421" s="220"/>
      <c r="HT421" s="220"/>
      <c r="HU421" s="220"/>
      <c r="HV421" s="220"/>
      <c r="HW421" s="220"/>
      <c r="HX421" s="220"/>
      <c r="HY421" s="220"/>
      <c r="HZ421" s="220"/>
      <c r="IA421" s="220"/>
      <c r="IB421" s="220"/>
      <c r="IC421" s="220"/>
      <c r="ID421" s="220"/>
      <c r="IE421" s="220"/>
      <c r="IF421" s="220"/>
      <c r="IG421" s="220"/>
      <c r="IH421" s="220"/>
      <c r="II421" s="220"/>
      <c r="IJ421" s="220"/>
      <c r="IK421" s="220"/>
      <c r="IL421" s="220"/>
      <c r="IM421" s="220"/>
      <c r="IN421" s="220"/>
      <c r="IO421" s="220"/>
      <c r="IP421" s="220"/>
      <c r="IQ421" s="220"/>
      <c r="IR421" s="220"/>
      <c r="IS421" s="220"/>
      <c r="IT421" s="220"/>
      <c r="IU421" s="220"/>
      <c r="IV421" s="220"/>
      <c r="IW421" s="220"/>
      <c r="IX421" s="220"/>
      <c r="IY421" s="220"/>
      <c r="IZ421" s="220"/>
      <c r="JA421" s="220"/>
      <c r="JB421" s="220"/>
      <c r="JC421" s="220"/>
      <c r="JD421" s="220"/>
      <c r="JE421" s="220"/>
      <c r="JF421" s="220"/>
      <c r="JG421" s="220"/>
      <c r="JH421" s="220"/>
      <c r="JI421" s="220"/>
      <c r="JJ421" s="220"/>
      <c r="JK421" s="220"/>
      <c r="JL421" s="220"/>
      <c r="JM421" s="220"/>
      <c r="JN421" s="220"/>
      <c r="JO421" s="220"/>
      <c r="JP421" s="220"/>
      <c r="JQ421" s="220"/>
      <c r="JR421" s="220"/>
      <c r="JS421" s="220"/>
      <c r="JT421" s="220"/>
      <c r="JU421" s="220"/>
      <c r="JV421" s="220"/>
      <c r="JW421" s="220"/>
      <c r="JX421" s="220"/>
      <c r="JY421" s="220"/>
      <c r="JZ421" s="220"/>
      <c r="KA421" s="220"/>
      <c r="KB421" s="220"/>
      <c r="KC421" s="220"/>
      <c r="KD421" s="220"/>
      <c r="KE421" s="220"/>
      <c r="KF421" s="220"/>
      <c r="KG421" s="220"/>
      <c r="KH421" s="220"/>
      <c r="KI421" s="220"/>
      <c r="KJ421" s="220"/>
      <c r="KK421" s="220"/>
      <c r="KL421" s="220"/>
      <c r="KM421" s="220"/>
      <c r="KN421" s="220"/>
      <c r="KO421" s="220"/>
      <c r="KP421" s="220"/>
      <c r="KQ421" s="220"/>
      <c r="KR421" s="220"/>
      <c r="KS421" s="220"/>
      <c r="KT421" s="220"/>
      <c r="KU421" s="220"/>
      <c r="KV421" s="220"/>
      <c r="KW421" s="220"/>
      <c r="KX421" s="220"/>
      <c r="KY421" s="220"/>
      <c r="KZ421" s="220"/>
      <c r="LA421" s="220"/>
      <c r="LB421" s="220"/>
      <c r="LC421" s="220"/>
      <c r="LD421" s="220"/>
      <c r="LE421" s="220"/>
      <c r="LF421" s="220"/>
      <c r="LG421" s="220"/>
      <c r="LH421" s="220"/>
      <c r="LI421" s="220"/>
      <c r="LJ421" s="220"/>
      <c r="LK421" s="220"/>
      <c r="LL421" s="220"/>
      <c r="LM421" s="220"/>
      <c r="LN421" s="220"/>
      <c r="LO421" s="220"/>
      <c r="LP421" s="220"/>
      <c r="LQ421" s="220"/>
      <c r="LR421" s="220"/>
      <c r="LS421" s="220"/>
      <c r="LT421" s="220"/>
      <c r="LU421" s="220"/>
      <c r="LV421" s="220"/>
      <c r="LW421" s="220"/>
      <c r="LX421" s="220"/>
      <c r="LY421" s="220"/>
      <c r="LZ421" s="220"/>
      <c r="MA421" s="220"/>
      <c r="MB421" s="220"/>
      <c r="MC421" s="220"/>
      <c r="MD421" s="220"/>
      <c r="ME421" s="220"/>
      <c r="MF421" s="220"/>
      <c r="MG421" s="220"/>
      <c r="MH421" s="220"/>
      <c r="MI421" s="220"/>
      <c r="MJ421" s="220"/>
      <c r="MK421" s="220"/>
      <c r="ML421" s="220"/>
      <c r="MM421" s="220"/>
      <c r="MN421" s="220"/>
      <c r="MO421" s="220"/>
      <c r="MP421" s="220"/>
      <c r="MQ421" s="220"/>
      <c r="MR421" s="220"/>
      <c r="MS421" s="220"/>
      <c r="MT421" s="220"/>
      <c r="MU421" s="220"/>
      <c r="MV421" s="220"/>
      <c r="MW421" s="220"/>
      <c r="MX421" s="220"/>
      <c r="MY421" s="220"/>
      <c r="MZ421" s="220"/>
      <c r="NA421" s="220"/>
      <c r="NB421" s="220"/>
      <c r="NC421" s="220"/>
      <c r="ND421" s="220"/>
      <c r="NE421" s="220"/>
      <c r="NF421" s="220"/>
      <c r="NG421" s="220"/>
      <c r="NH421" s="220"/>
      <c r="NI421" s="220"/>
      <c r="NJ421" s="220"/>
      <c r="NK421" s="220"/>
      <c r="NL421" s="220"/>
      <c r="NM421" s="220"/>
      <c r="NN421" s="220"/>
      <c r="NO421" s="220"/>
      <c r="NP421" s="220"/>
      <c r="NQ421" s="220"/>
      <c r="NR421" s="220"/>
      <c r="NS421" s="220"/>
      <c r="NT421" s="220"/>
      <c r="NU421" s="220"/>
      <c r="NV421" s="220"/>
      <c r="NW421" s="220"/>
      <c r="NX421" s="220"/>
      <c r="NY421" s="220"/>
      <c r="NZ421" s="220"/>
      <c r="OA421" s="220"/>
      <c r="OB421" s="220"/>
      <c r="OC421" s="220"/>
      <c r="OD421" s="220"/>
      <c r="OE421" s="220"/>
      <c r="OF421" s="220"/>
      <c r="OG421" s="220"/>
      <c r="OH421" s="220"/>
      <c r="OI421" s="220"/>
      <c r="OJ421" s="220"/>
      <c r="OK421" s="220"/>
      <c r="OL421" s="220"/>
      <c r="OM421" s="220"/>
      <c r="ON421" s="220"/>
      <c r="OO421" s="220"/>
      <c r="OP421" s="220"/>
      <c r="OQ421" s="220"/>
      <c r="OR421" s="220"/>
      <c r="OS421" s="220"/>
      <c r="OT421" s="220"/>
      <c r="OU421" s="220"/>
      <c r="OV421" s="220"/>
      <c r="OW421" s="220"/>
      <c r="OX421" s="220"/>
      <c r="OY421" s="220"/>
      <c r="OZ421" s="220"/>
      <c r="PA421" s="220"/>
      <c r="PB421" s="220"/>
      <c r="PC421" s="220"/>
      <c r="PD421" s="220"/>
      <c r="PE421" s="220"/>
      <c r="PF421" s="220"/>
      <c r="PG421" s="220"/>
      <c r="PH421" s="220"/>
      <c r="PI421" s="220"/>
      <c r="PJ421" s="220"/>
      <c r="PK421" s="220"/>
      <c r="PL421" s="220"/>
      <c r="PM421" s="220"/>
      <c r="PN421" s="220"/>
      <c r="PO421" s="220"/>
      <c r="PP421" s="220"/>
      <c r="PQ421" s="220"/>
      <c r="PR421" s="220"/>
      <c r="PS421" s="220"/>
      <c r="PT421" s="220"/>
      <c r="PU421" s="220"/>
      <c r="PV421" s="220"/>
      <c r="PW421" s="220"/>
      <c r="PX421" s="220"/>
      <c r="PY421" s="220"/>
      <c r="PZ421" s="220"/>
      <c r="QA421" s="220"/>
      <c r="QB421" s="220"/>
      <c r="QC421" s="220"/>
      <c r="QD421" s="220"/>
      <c r="QE421" s="220"/>
      <c r="QF421" s="220"/>
      <c r="QG421" s="220"/>
      <c r="QH421" s="220"/>
      <c r="QI421" s="220"/>
      <c r="QJ421" s="220"/>
      <c r="QK421" s="220"/>
      <c r="QL421" s="220"/>
      <c r="QM421" s="220"/>
      <c r="QN421" s="220"/>
      <c r="QO421" s="220"/>
      <c r="QP421" s="220"/>
      <c r="QQ421" s="220"/>
      <c r="QR421" s="220"/>
      <c r="QS421" s="220"/>
      <c r="QT421" s="220"/>
      <c r="QU421" s="220"/>
      <c r="QV421" s="220"/>
      <c r="QW421" s="220"/>
      <c r="QX421" s="220"/>
      <c r="QY421" s="220"/>
      <c r="QZ421" s="220"/>
      <c r="RA421" s="220"/>
      <c r="RB421" s="220"/>
      <c r="RC421" s="220"/>
      <c r="RD421" s="220"/>
      <c r="RE421" s="220"/>
      <c r="RF421" s="220"/>
      <c r="RG421" s="220"/>
      <c r="RH421" s="220"/>
      <c r="RI421" s="220"/>
      <c r="RJ421" s="220"/>
      <c r="RK421" s="220"/>
      <c r="RL421" s="220"/>
      <c r="RM421" s="220"/>
      <c r="RN421" s="220"/>
      <c r="RO421" s="220"/>
      <c r="RP421" s="220"/>
      <c r="RQ421" s="220"/>
      <c r="RR421" s="220"/>
      <c r="RS421" s="220"/>
      <c r="RT421" s="220"/>
      <c r="RU421" s="220"/>
      <c r="RV421" s="220"/>
      <c r="RW421" s="220"/>
      <c r="RX421" s="220"/>
      <c r="RY421" s="220"/>
      <c r="RZ421" s="220"/>
      <c r="SA421" s="220"/>
      <c r="SB421" s="220"/>
      <c r="SC421" s="220"/>
      <c r="SD421" s="220"/>
      <c r="SE421" s="220"/>
      <c r="SF421" s="220"/>
      <c r="SG421" s="220"/>
      <c r="SH421" s="220"/>
      <c r="SI421" s="220"/>
      <c r="SJ421" s="220"/>
      <c r="SK421" s="220"/>
      <c r="SL421" s="220"/>
      <c r="SM421" s="220"/>
      <c r="SN421" s="220"/>
      <c r="SO421" s="220"/>
      <c r="SP421" s="220"/>
      <c r="SQ421" s="220"/>
      <c r="SR421" s="220"/>
      <c r="SS421" s="220"/>
      <c r="ST421" s="220"/>
      <c r="SU421" s="220"/>
      <c r="SV421" s="220"/>
      <c r="SW421" s="220"/>
      <c r="SX421" s="220"/>
      <c r="SY421" s="220"/>
      <c r="SZ421" s="220"/>
      <c r="TA421" s="220"/>
      <c r="TB421" s="220"/>
      <c r="TC421" s="220"/>
      <c r="TD421" s="220"/>
      <c r="TE421" s="220"/>
      <c r="TF421" s="220"/>
      <c r="TG421" s="220"/>
      <c r="TH421" s="220"/>
      <c r="TI421" s="220"/>
      <c r="TJ421" s="220"/>
      <c r="TK421" s="220"/>
      <c r="TL421" s="220"/>
      <c r="TM421" s="220"/>
      <c r="TN421" s="220"/>
      <c r="TO421" s="220"/>
      <c r="TP421" s="220"/>
      <c r="TQ421" s="220"/>
      <c r="TR421" s="220"/>
      <c r="TS421" s="220"/>
      <c r="TT421" s="220"/>
      <c r="TU421" s="220"/>
      <c r="TV421" s="220"/>
      <c r="TW421" s="220"/>
      <c r="TX421" s="220"/>
      <c r="TY421" s="220"/>
      <c r="TZ421" s="220"/>
      <c r="UA421" s="220"/>
      <c r="UB421" s="220"/>
      <c r="UC421" s="220"/>
      <c r="UD421" s="220"/>
      <c r="UE421" s="220"/>
      <c r="UF421" s="220"/>
      <c r="UG421" s="220"/>
      <c r="UH421" s="220"/>
      <c r="UI421" s="220"/>
      <c r="UJ421" s="220"/>
      <c r="UK421" s="220"/>
      <c r="UL421" s="220"/>
      <c r="UM421" s="220"/>
      <c r="UN421" s="220"/>
      <c r="UO421" s="220"/>
      <c r="UP421" s="220"/>
      <c r="UQ421" s="220"/>
      <c r="UR421" s="220"/>
      <c r="US421" s="220"/>
      <c r="UT421" s="220"/>
      <c r="UU421" s="220"/>
      <c r="UV421" s="220"/>
      <c r="UW421" s="220"/>
      <c r="UX421" s="220"/>
      <c r="UY421" s="220"/>
      <c r="UZ421" s="220"/>
      <c r="VA421" s="220"/>
      <c r="VB421" s="220"/>
      <c r="VC421" s="220"/>
      <c r="VD421" s="220"/>
      <c r="VE421" s="220"/>
      <c r="VF421" s="220"/>
      <c r="VG421" s="220"/>
      <c r="VH421" s="220"/>
      <c r="VI421" s="220"/>
      <c r="VJ421" s="220"/>
      <c r="VK421" s="220"/>
      <c r="VL421" s="220"/>
      <c r="VM421" s="220"/>
      <c r="VN421" s="220"/>
      <c r="VO421" s="220"/>
      <c r="VP421" s="220"/>
      <c r="VQ421" s="220"/>
      <c r="VR421" s="220"/>
      <c r="VS421" s="220"/>
      <c r="VT421" s="220"/>
      <c r="VU421" s="220"/>
      <c r="VV421" s="220"/>
      <c r="VW421" s="220"/>
      <c r="VX421" s="220"/>
      <c r="VY421" s="220"/>
      <c r="VZ421" s="220"/>
      <c r="WA421" s="220"/>
      <c r="WB421" s="220"/>
      <c r="WC421" s="220"/>
      <c r="WD421" s="220"/>
      <c r="WE421" s="220"/>
      <c r="WF421" s="220"/>
      <c r="WG421" s="220"/>
      <c r="WH421" s="220"/>
      <c r="WI421" s="220"/>
      <c r="WJ421" s="220"/>
      <c r="WK421" s="220"/>
      <c r="WL421" s="220"/>
      <c r="WM421" s="220"/>
      <c r="WN421" s="220"/>
      <c r="WO421" s="220"/>
      <c r="WP421" s="220"/>
      <c r="WQ421" s="220"/>
      <c r="WR421" s="220"/>
      <c r="WS421" s="220"/>
      <c r="WT421" s="220"/>
      <c r="WU421" s="220"/>
      <c r="WV421" s="220"/>
      <c r="WW421" s="220"/>
      <c r="WX421" s="220"/>
      <c r="WY421" s="220"/>
      <c r="WZ421" s="220"/>
      <c r="XA421" s="220"/>
      <c r="XB421" s="220"/>
      <c r="XC421" s="220"/>
      <c r="XD421" s="220"/>
      <c r="XE421" s="220"/>
      <c r="XF421" s="220"/>
      <c r="XG421" s="220"/>
      <c r="XH421" s="220"/>
      <c r="XI421" s="220"/>
      <c r="XJ421" s="220"/>
      <c r="XK421" s="220"/>
      <c r="XL421" s="220"/>
      <c r="XM421" s="220"/>
      <c r="XN421" s="220"/>
      <c r="XO421" s="220"/>
      <c r="XP421" s="220"/>
      <c r="XQ421" s="220"/>
      <c r="XR421" s="220"/>
      <c r="XS421" s="220"/>
      <c r="XT421" s="220"/>
      <c r="XU421" s="220"/>
      <c r="XV421" s="220"/>
      <c r="XW421" s="220"/>
      <c r="XX421" s="220"/>
      <c r="XY421" s="220"/>
      <c r="XZ421" s="220"/>
      <c r="YA421" s="220"/>
      <c r="YB421" s="220"/>
      <c r="YC421" s="220"/>
      <c r="YD421" s="220"/>
      <c r="YE421" s="220"/>
      <c r="YF421" s="220"/>
      <c r="YG421" s="220"/>
      <c r="YH421" s="220"/>
      <c r="YI421" s="220"/>
      <c r="YJ421" s="220"/>
      <c r="YK421" s="220"/>
      <c r="YL421" s="220"/>
      <c r="YM421" s="220"/>
      <c r="YN421" s="220"/>
      <c r="YO421" s="220"/>
      <c r="YP421" s="220"/>
      <c r="YQ421" s="220"/>
      <c r="YR421" s="220"/>
      <c r="YS421" s="220"/>
      <c r="YT421" s="220"/>
      <c r="YU421" s="220"/>
      <c r="YV421" s="220"/>
      <c r="YW421" s="220"/>
      <c r="YX421" s="220"/>
      <c r="YY421" s="220"/>
      <c r="YZ421" s="220"/>
      <c r="ZA421" s="220"/>
      <c r="ZB421" s="220"/>
      <c r="ZC421" s="220"/>
      <c r="ZD421" s="220"/>
      <c r="ZE421" s="220"/>
      <c r="ZF421" s="220"/>
      <c r="ZG421" s="220"/>
      <c r="ZH421" s="220"/>
      <c r="ZI421" s="220"/>
      <c r="ZJ421" s="220"/>
      <c r="ZK421" s="220"/>
      <c r="ZL421" s="220"/>
      <c r="ZM421" s="220"/>
      <c r="ZN421" s="220"/>
      <c r="ZO421" s="220"/>
      <c r="ZP421" s="220"/>
      <c r="ZQ421" s="220"/>
      <c r="ZR421" s="220"/>
      <c r="ZS421" s="220"/>
      <c r="ZT421" s="220"/>
      <c r="ZU421" s="220"/>
      <c r="ZV421" s="220"/>
      <c r="ZW421" s="220"/>
      <c r="ZX421" s="220"/>
      <c r="ZY421" s="220"/>
      <c r="ZZ421" s="220"/>
      <c r="AAA421" s="220"/>
      <c r="AAB421" s="220"/>
      <c r="AAC421" s="220"/>
      <c r="AAD421" s="220"/>
      <c r="AAE421" s="220"/>
      <c r="AAF421" s="220"/>
      <c r="AAG421" s="220"/>
      <c r="AAH421" s="220"/>
      <c r="AAI421" s="220"/>
      <c r="AAJ421" s="220"/>
      <c r="AAK421" s="220"/>
      <c r="AAL421" s="220"/>
      <c r="AAM421" s="220"/>
      <c r="AAN421" s="220"/>
      <c r="AAO421" s="220"/>
      <c r="AAP421" s="220"/>
      <c r="AAQ421" s="220"/>
      <c r="AAR421" s="220"/>
      <c r="AAS421" s="220"/>
      <c r="AAT421" s="220"/>
      <c r="AAU421" s="220"/>
      <c r="AAV421" s="220"/>
      <c r="AAW421" s="220"/>
      <c r="AAX421" s="220"/>
      <c r="AAY421" s="220"/>
      <c r="AAZ421" s="220"/>
      <c r="ABA421" s="220"/>
      <c r="ABB421" s="220"/>
      <c r="ABC421" s="220"/>
      <c r="ABD421" s="220"/>
      <c r="ABE421" s="220"/>
      <c r="ABF421" s="220"/>
      <c r="ABG421" s="220"/>
    </row>
    <row r="422" spans="1:735" s="246" customFormat="1" x14ac:dyDescent="0.2">
      <c r="A422" s="180">
        <v>3399</v>
      </c>
      <c r="B422" s="123" t="s">
        <v>331</v>
      </c>
      <c r="C422" s="136">
        <v>40000</v>
      </c>
      <c r="D422" s="136">
        <v>40000</v>
      </c>
      <c r="E422" s="549">
        <v>8785.56</v>
      </c>
      <c r="F422" s="496"/>
      <c r="G422" s="120">
        <f t="shared" si="153"/>
        <v>21.963899999999999</v>
      </c>
      <c r="H422" s="120">
        <f>E422/D422*100</f>
        <v>21.963899999999999</v>
      </c>
      <c r="I422" s="120">
        <f>E422/J422*100</f>
        <v>26.357109620886821</v>
      </c>
      <c r="J422" s="162">
        <v>33332.79</v>
      </c>
      <c r="K422" s="220"/>
      <c r="L422" s="220"/>
      <c r="M422" s="220"/>
      <c r="N422" s="220"/>
      <c r="O422" s="220"/>
      <c r="P422" s="220"/>
      <c r="Q422" s="220"/>
      <c r="R422" s="220"/>
      <c r="S422" s="220"/>
      <c r="T422" s="220"/>
      <c r="U422" s="220"/>
      <c r="V422" s="220"/>
      <c r="W422" s="220"/>
      <c r="X422" s="220"/>
      <c r="Y422" s="220"/>
      <c r="Z422" s="220"/>
      <c r="AA422" s="220"/>
      <c r="AB422" s="220"/>
      <c r="AC422" s="220"/>
      <c r="AD422" s="220"/>
      <c r="AE422" s="220"/>
      <c r="AF422" s="220"/>
      <c r="AG422" s="220"/>
      <c r="AH422" s="220"/>
      <c r="AI422" s="220"/>
      <c r="AJ422" s="220"/>
      <c r="AK422" s="220"/>
      <c r="AL422" s="220"/>
      <c r="AM422" s="220"/>
      <c r="AN422" s="220"/>
      <c r="AO422" s="220"/>
      <c r="AP422" s="220"/>
      <c r="AQ422" s="220"/>
      <c r="AR422" s="220"/>
      <c r="AS422" s="220"/>
      <c r="AT422" s="220"/>
      <c r="AU422" s="220"/>
      <c r="AV422" s="220"/>
      <c r="AW422" s="220"/>
      <c r="AX422" s="220"/>
      <c r="AY422" s="220"/>
      <c r="AZ422" s="220"/>
      <c r="BA422" s="220"/>
      <c r="BB422" s="220"/>
      <c r="BC422" s="220"/>
      <c r="BD422" s="220"/>
      <c r="BE422" s="220"/>
      <c r="BF422" s="220"/>
      <c r="BG422" s="220"/>
      <c r="BH422" s="220"/>
      <c r="BI422" s="220"/>
      <c r="BJ422" s="220"/>
      <c r="BK422" s="220"/>
      <c r="BL422" s="220"/>
      <c r="BM422" s="220"/>
      <c r="BN422" s="220"/>
      <c r="BO422" s="220"/>
      <c r="BP422" s="220"/>
      <c r="BQ422" s="220"/>
      <c r="BR422" s="220"/>
      <c r="BS422" s="220"/>
      <c r="BT422" s="220"/>
      <c r="BU422" s="220"/>
      <c r="BV422" s="220"/>
      <c r="BW422" s="220"/>
      <c r="BX422" s="220"/>
      <c r="BY422" s="220"/>
      <c r="BZ422" s="220"/>
      <c r="CA422" s="220"/>
      <c r="CB422" s="220"/>
      <c r="CC422" s="220"/>
      <c r="CD422" s="220"/>
      <c r="CE422" s="220"/>
      <c r="CF422" s="220"/>
      <c r="CG422" s="220"/>
      <c r="CH422" s="220"/>
      <c r="CI422" s="220"/>
      <c r="CJ422" s="220"/>
      <c r="CK422" s="220"/>
      <c r="CL422" s="220"/>
      <c r="CM422" s="220"/>
      <c r="CN422" s="220"/>
      <c r="CO422" s="220"/>
      <c r="CP422" s="220"/>
      <c r="CQ422" s="220"/>
      <c r="CR422" s="220"/>
      <c r="CS422" s="220"/>
      <c r="CT422" s="220"/>
      <c r="CU422" s="220"/>
      <c r="CV422" s="220"/>
      <c r="CW422" s="220"/>
      <c r="CX422" s="220"/>
      <c r="CY422" s="220"/>
      <c r="CZ422" s="220"/>
      <c r="DA422" s="220"/>
      <c r="DB422" s="220"/>
      <c r="DC422" s="220"/>
      <c r="DD422" s="220"/>
      <c r="DE422" s="220"/>
      <c r="DF422" s="220"/>
      <c r="DG422" s="220"/>
      <c r="DH422" s="220"/>
      <c r="DI422" s="220"/>
      <c r="DJ422" s="220"/>
      <c r="DK422" s="220"/>
      <c r="DL422" s="220"/>
      <c r="DM422" s="220"/>
      <c r="DN422" s="220"/>
      <c r="DO422" s="220"/>
      <c r="DP422" s="220"/>
      <c r="DQ422" s="220"/>
      <c r="DR422" s="220"/>
      <c r="DS422" s="220"/>
      <c r="DT422" s="220"/>
      <c r="DU422" s="220"/>
      <c r="DV422" s="220"/>
      <c r="DW422" s="220"/>
      <c r="DX422" s="220"/>
      <c r="DY422" s="220"/>
      <c r="DZ422" s="220"/>
      <c r="EA422" s="220"/>
      <c r="EB422" s="220"/>
      <c r="EC422" s="220"/>
      <c r="ED422" s="220"/>
      <c r="EE422" s="220"/>
      <c r="EF422" s="220"/>
      <c r="EG422" s="220"/>
      <c r="EH422" s="220"/>
      <c r="EI422" s="220"/>
      <c r="EJ422" s="220"/>
      <c r="EK422" s="220"/>
      <c r="EL422" s="220"/>
      <c r="EM422" s="220"/>
      <c r="EN422" s="220"/>
      <c r="EO422" s="220"/>
      <c r="EP422" s="220"/>
      <c r="EQ422" s="220"/>
      <c r="ER422" s="220"/>
      <c r="ES422" s="220"/>
      <c r="ET422" s="220"/>
      <c r="EU422" s="220"/>
      <c r="EV422" s="220"/>
      <c r="EW422" s="220"/>
      <c r="EX422" s="220"/>
      <c r="EY422" s="220"/>
      <c r="EZ422" s="220"/>
      <c r="FA422" s="220"/>
      <c r="FB422" s="220"/>
      <c r="FC422" s="220"/>
      <c r="FD422" s="220"/>
      <c r="FE422" s="220"/>
      <c r="FF422" s="220"/>
      <c r="FG422" s="220"/>
      <c r="FH422" s="220"/>
      <c r="FI422" s="220"/>
      <c r="FJ422" s="220"/>
      <c r="FK422" s="220"/>
      <c r="FL422" s="220"/>
      <c r="FM422" s="220"/>
      <c r="FN422" s="220"/>
      <c r="FO422" s="220"/>
      <c r="FP422" s="220"/>
      <c r="FQ422" s="220"/>
      <c r="FR422" s="220"/>
      <c r="FS422" s="220"/>
      <c r="FT422" s="220"/>
      <c r="FU422" s="220"/>
      <c r="FV422" s="220"/>
      <c r="FW422" s="220"/>
      <c r="FX422" s="220"/>
      <c r="FY422" s="220"/>
      <c r="FZ422" s="220"/>
      <c r="GA422" s="220"/>
      <c r="GB422" s="220"/>
      <c r="GC422" s="220"/>
      <c r="GD422" s="220"/>
      <c r="GE422" s="220"/>
      <c r="GF422" s="220"/>
      <c r="GG422" s="220"/>
      <c r="GH422" s="220"/>
      <c r="GI422" s="220"/>
      <c r="GJ422" s="220"/>
      <c r="GK422" s="220"/>
      <c r="GL422" s="220"/>
      <c r="GM422" s="220"/>
      <c r="GN422" s="220"/>
      <c r="GO422" s="220"/>
      <c r="GP422" s="220"/>
      <c r="GQ422" s="220"/>
      <c r="GR422" s="220"/>
      <c r="GS422" s="220"/>
      <c r="GT422" s="220"/>
      <c r="GU422" s="220"/>
      <c r="GV422" s="220"/>
      <c r="GW422" s="220"/>
      <c r="GX422" s="220"/>
      <c r="GY422" s="220"/>
      <c r="GZ422" s="220"/>
      <c r="HA422" s="220"/>
      <c r="HB422" s="220"/>
      <c r="HC422" s="220"/>
      <c r="HD422" s="220"/>
      <c r="HE422" s="220"/>
      <c r="HF422" s="220"/>
      <c r="HG422" s="220"/>
      <c r="HH422" s="220"/>
      <c r="HI422" s="220"/>
      <c r="HJ422" s="220"/>
      <c r="HK422" s="220"/>
      <c r="HL422" s="220"/>
      <c r="HM422" s="220"/>
      <c r="HN422" s="220"/>
      <c r="HO422" s="220"/>
      <c r="HP422" s="220"/>
      <c r="HQ422" s="220"/>
      <c r="HR422" s="220"/>
      <c r="HS422" s="220"/>
      <c r="HT422" s="220"/>
      <c r="HU422" s="220"/>
      <c r="HV422" s="220"/>
      <c r="HW422" s="220"/>
      <c r="HX422" s="220"/>
      <c r="HY422" s="220"/>
      <c r="HZ422" s="220"/>
      <c r="IA422" s="220"/>
      <c r="IB422" s="220"/>
      <c r="IC422" s="220"/>
      <c r="ID422" s="220"/>
      <c r="IE422" s="220"/>
      <c r="IF422" s="220"/>
      <c r="IG422" s="220"/>
      <c r="IH422" s="220"/>
      <c r="II422" s="220"/>
      <c r="IJ422" s="220"/>
      <c r="IK422" s="220"/>
      <c r="IL422" s="220"/>
      <c r="IM422" s="220"/>
      <c r="IN422" s="220"/>
      <c r="IO422" s="220"/>
      <c r="IP422" s="220"/>
      <c r="IQ422" s="220"/>
      <c r="IR422" s="220"/>
      <c r="IS422" s="220"/>
      <c r="IT422" s="220"/>
      <c r="IU422" s="220"/>
      <c r="IV422" s="220"/>
      <c r="IW422" s="220"/>
      <c r="IX422" s="220"/>
      <c r="IY422" s="220"/>
      <c r="IZ422" s="220"/>
      <c r="JA422" s="220"/>
      <c r="JB422" s="220"/>
      <c r="JC422" s="220"/>
      <c r="JD422" s="220"/>
      <c r="JE422" s="220"/>
      <c r="JF422" s="220"/>
      <c r="JG422" s="220"/>
      <c r="JH422" s="220"/>
      <c r="JI422" s="220"/>
      <c r="JJ422" s="220"/>
      <c r="JK422" s="220"/>
      <c r="JL422" s="220"/>
      <c r="JM422" s="220"/>
      <c r="JN422" s="220"/>
      <c r="JO422" s="220"/>
      <c r="JP422" s="220"/>
      <c r="JQ422" s="220"/>
      <c r="JR422" s="220"/>
      <c r="JS422" s="220"/>
      <c r="JT422" s="220"/>
      <c r="JU422" s="220"/>
      <c r="JV422" s="220"/>
      <c r="JW422" s="220"/>
      <c r="JX422" s="220"/>
      <c r="JY422" s="220"/>
      <c r="JZ422" s="220"/>
      <c r="KA422" s="220"/>
      <c r="KB422" s="220"/>
      <c r="KC422" s="220"/>
      <c r="KD422" s="220"/>
      <c r="KE422" s="220"/>
      <c r="KF422" s="220"/>
      <c r="KG422" s="220"/>
      <c r="KH422" s="220"/>
      <c r="KI422" s="220"/>
      <c r="KJ422" s="220"/>
      <c r="KK422" s="220"/>
      <c r="KL422" s="220"/>
      <c r="KM422" s="220"/>
      <c r="KN422" s="220"/>
      <c r="KO422" s="220"/>
      <c r="KP422" s="220"/>
      <c r="KQ422" s="220"/>
      <c r="KR422" s="220"/>
      <c r="KS422" s="220"/>
      <c r="KT422" s="220"/>
      <c r="KU422" s="220"/>
      <c r="KV422" s="220"/>
      <c r="KW422" s="220"/>
      <c r="KX422" s="220"/>
      <c r="KY422" s="220"/>
      <c r="KZ422" s="220"/>
      <c r="LA422" s="220"/>
      <c r="LB422" s="220"/>
      <c r="LC422" s="220"/>
      <c r="LD422" s="220"/>
      <c r="LE422" s="220"/>
      <c r="LF422" s="220"/>
      <c r="LG422" s="220"/>
      <c r="LH422" s="220"/>
      <c r="LI422" s="220"/>
      <c r="LJ422" s="220"/>
      <c r="LK422" s="220"/>
      <c r="LL422" s="220"/>
      <c r="LM422" s="220"/>
      <c r="LN422" s="220"/>
      <c r="LO422" s="220"/>
      <c r="LP422" s="220"/>
      <c r="LQ422" s="220"/>
      <c r="LR422" s="220"/>
      <c r="LS422" s="220"/>
      <c r="LT422" s="220"/>
      <c r="LU422" s="220"/>
      <c r="LV422" s="220"/>
      <c r="LW422" s="220"/>
      <c r="LX422" s="220"/>
      <c r="LY422" s="220"/>
      <c r="LZ422" s="220"/>
      <c r="MA422" s="220"/>
      <c r="MB422" s="220"/>
      <c r="MC422" s="220"/>
      <c r="MD422" s="220"/>
      <c r="ME422" s="220"/>
      <c r="MF422" s="220"/>
      <c r="MG422" s="220"/>
      <c r="MH422" s="220"/>
      <c r="MI422" s="220"/>
      <c r="MJ422" s="220"/>
      <c r="MK422" s="220"/>
      <c r="ML422" s="220"/>
      <c r="MM422" s="220"/>
      <c r="MN422" s="220"/>
      <c r="MO422" s="220"/>
      <c r="MP422" s="220"/>
      <c r="MQ422" s="220"/>
      <c r="MR422" s="220"/>
      <c r="MS422" s="220"/>
      <c r="MT422" s="220"/>
      <c r="MU422" s="220"/>
      <c r="MV422" s="220"/>
      <c r="MW422" s="220"/>
      <c r="MX422" s="220"/>
      <c r="MY422" s="220"/>
      <c r="MZ422" s="220"/>
      <c r="NA422" s="220"/>
      <c r="NB422" s="220"/>
      <c r="NC422" s="220"/>
      <c r="ND422" s="220"/>
      <c r="NE422" s="220"/>
      <c r="NF422" s="220"/>
      <c r="NG422" s="220"/>
      <c r="NH422" s="220"/>
      <c r="NI422" s="220"/>
      <c r="NJ422" s="220"/>
      <c r="NK422" s="220"/>
      <c r="NL422" s="220"/>
      <c r="NM422" s="220"/>
      <c r="NN422" s="220"/>
      <c r="NO422" s="220"/>
      <c r="NP422" s="220"/>
      <c r="NQ422" s="220"/>
      <c r="NR422" s="220"/>
      <c r="NS422" s="220"/>
      <c r="NT422" s="220"/>
      <c r="NU422" s="220"/>
      <c r="NV422" s="220"/>
      <c r="NW422" s="220"/>
      <c r="NX422" s="220"/>
      <c r="NY422" s="220"/>
      <c r="NZ422" s="220"/>
      <c r="OA422" s="220"/>
      <c r="OB422" s="220"/>
      <c r="OC422" s="220"/>
      <c r="OD422" s="220"/>
      <c r="OE422" s="220"/>
      <c r="OF422" s="220"/>
      <c r="OG422" s="220"/>
      <c r="OH422" s="220"/>
      <c r="OI422" s="220"/>
      <c r="OJ422" s="220"/>
      <c r="OK422" s="220"/>
      <c r="OL422" s="220"/>
      <c r="OM422" s="220"/>
      <c r="ON422" s="220"/>
      <c r="OO422" s="220"/>
      <c r="OP422" s="220"/>
      <c r="OQ422" s="220"/>
      <c r="OR422" s="220"/>
      <c r="OS422" s="220"/>
      <c r="OT422" s="220"/>
      <c r="OU422" s="220"/>
      <c r="OV422" s="220"/>
      <c r="OW422" s="220"/>
      <c r="OX422" s="220"/>
      <c r="OY422" s="220"/>
      <c r="OZ422" s="220"/>
      <c r="PA422" s="220"/>
      <c r="PB422" s="220"/>
      <c r="PC422" s="220"/>
      <c r="PD422" s="220"/>
      <c r="PE422" s="220"/>
      <c r="PF422" s="220"/>
      <c r="PG422" s="220"/>
      <c r="PH422" s="220"/>
      <c r="PI422" s="220"/>
      <c r="PJ422" s="220"/>
      <c r="PK422" s="220"/>
      <c r="PL422" s="220"/>
      <c r="PM422" s="220"/>
      <c r="PN422" s="220"/>
      <c r="PO422" s="220"/>
      <c r="PP422" s="220"/>
      <c r="PQ422" s="220"/>
      <c r="PR422" s="220"/>
      <c r="PS422" s="220"/>
      <c r="PT422" s="220"/>
      <c r="PU422" s="220"/>
      <c r="PV422" s="220"/>
      <c r="PW422" s="220"/>
      <c r="PX422" s="220"/>
      <c r="PY422" s="220"/>
      <c r="PZ422" s="220"/>
      <c r="QA422" s="220"/>
      <c r="QB422" s="220"/>
      <c r="QC422" s="220"/>
      <c r="QD422" s="220"/>
      <c r="QE422" s="220"/>
      <c r="QF422" s="220"/>
      <c r="QG422" s="220"/>
      <c r="QH422" s="220"/>
      <c r="QI422" s="220"/>
      <c r="QJ422" s="220"/>
      <c r="QK422" s="220"/>
      <c r="QL422" s="220"/>
      <c r="QM422" s="220"/>
      <c r="QN422" s="220"/>
      <c r="QO422" s="220"/>
      <c r="QP422" s="220"/>
      <c r="QQ422" s="220"/>
      <c r="QR422" s="220"/>
      <c r="QS422" s="220"/>
      <c r="QT422" s="220"/>
      <c r="QU422" s="220"/>
      <c r="QV422" s="220"/>
      <c r="QW422" s="220"/>
      <c r="QX422" s="220"/>
      <c r="QY422" s="220"/>
      <c r="QZ422" s="220"/>
      <c r="RA422" s="220"/>
      <c r="RB422" s="220"/>
      <c r="RC422" s="220"/>
      <c r="RD422" s="220"/>
      <c r="RE422" s="220"/>
      <c r="RF422" s="220"/>
      <c r="RG422" s="220"/>
      <c r="RH422" s="220"/>
      <c r="RI422" s="220"/>
      <c r="RJ422" s="220"/>
      <c r="RK422" s="220"/>
      <c r="RL422" s="220"/>
      <c r="RM422" s="220"/>
      <c r="RN422" s="220"/>
      <c r="RO422" s="220"/>
      <c r="RP422" s="220"/>
      <c r="RQ422" s="220"/>
      <c r="RR422" s="220"/>
      <c r="RS422" s="220"/>
      <c r="RT422" s="220"/>
      <c r="RU422" s="220"/>
      <c r="RV422" s="220"/>
      <c r="RW422" s="220"/>
      <c r="RX422" s="220"/>
      <c r="RY422" s="220"/>
      <c r="RZ422" s="220"/>
      <c r="SA422" s="220"/>
      <c r="SB422" s="220"/>
      <c r="SC422" s="220"/>
      <c r="SD422" s="220"/>
      <c r="SE422" s="220"/>
      <c r="SF422" s="220"/>
      <c r="SG422" s="220"/>
      <c r="SH422" s="220"/>
      <c r="SI422" s="220"/>
      <c r="SJ422" s="220"/>
      <c r="SK422" s="220"/>
      <c r="SL422" s="220"/>
      <c r="SM422" s="220"/>
      <c r="SN422" s="220"/>
      <c r="SO422" s="220"/>
      <c r="SP422" s="220"/>
      <c r="SQ422" s="220"/>
      <c r="SR422" s="220"/>
      <c r="SS422" s="220"/>
      <c r="ST422" s="220"/>
      <c r="SU422" s="220"/>
      <c r="SV422" s="220"/>
      <c r="SW422" s="220"/>
      <c r="SX422" s="220"/>
      <c r="SY422" s="220"/>
      <c r="SZ422" s="220"/>
      <c r="TA422" s="220"/>
      <c r="TB422" s="220"/>
      <c r="TC422" s="220"/>
      <c r="TD422" s="220"/>
      <c r="TE422" s="220"/>
      <c r="TF422" s="220"/>
      <c r="TG422" s="220"/>
      <c r="TH422" s="220"/>
      <c r="TI422" s="220"/>
      <c r="TJ422" s="220"/>
      <c r="TK422" s="220"/>
      <c r="TL422" s="220"/>
      <c r="TM422" s="220"/>
      <c r="TN422" s="220"/>
      <c r="TO422" s="220"/>
      <c r="TP422" s="220"/>
      <c r="TQ422" s="220"/>
      <c r="TR422" s="220"/>
      <c r="TS422" s="220"/>
      <c r="TT422" s="220"/>
      <c r="TU422" s="220"/>
      <c r="TV422" s="220"/>
      <c r="TW422" s="220"/>
      <c r="TX422" s="220"/>
      <c r="TY422" s="220"/>
      <c r="TZ422" s="220"/>
      <c r="UA422" s="220"/>
      <c r="UB422" s="220"/>
      <c r="UC422" s="220"/>
      <c r="UD422" s="220"/>
      <c r="UE422" s="220"/>
      <c r="UF422" s="220"/>
      <c r="UG422" s="220"/>
      <c r="UH422" s="220"/>
      <c r="UI422" s="220"/>
      <c r="UJ422" s="220"/>
      <c r="UK422" s="220"/>
      <c r="UL422" s="220"/>
      <c r="UM422" s="220"/>
      <c r="UN422" s="220"/>
      <c r="UO422" s="220"/>
      <c r="UP422" s="220"/>
      <c r="UQ422" s="220"/>
      <c r="UR422" s="220"/>
      <c r="US422" s="220"/>
      <c r="UT422" s="220"/>
      <c r="UU422" s="220"/>
      <c r="UV422" s="220"/>
      <c r="UW422" s="220"/>
      <c r="UX422" s="220"/>
      <c r="UY422" s="220"/>
      <c r="UZ422" s="220"/>
      <c r="VA422" s="220"/>
      <c r="VB422" s="220"/>
      <c r="VC422" s="220"/>
      <c r="VD422" s="220"/>
      <c r="VE422" s="220"/>
      <c r="VF422" s="220"/>
      <c r="VG422" s="220"/>
      <c r="VH422" s="220"/>
      <c r="VI422" s="220"/>
      <c r="VJ422" s="220"/>
      <c r="VK422" s="220"/>
      <c r="VL422" s="220"/>
      <c r="VM422" s="220"/>
      <c r="VN422" s="220"/>
      <c r="VO422" s="220"/>
      <c r="VP422" s="220"/>
      <c r="VQ422" s="220"/>
      <c r="VR422" s="220"/>
      <c r="VS422" s="220"/>
      <c r="VT422" s="220"/>
      <c r="VU422" s="220"/>
      <c r="VV422" s="220"/>
      <c r="VW422" s="220"/>
      <c r="VX422" s="220"/>
      <c r="VY422" s="220"/>
      <c r="VZ422" s="220"/>
      <c r="WA422" s="220"/>
      <c r="WB422" s="220"/>
      <c r="WC422" s="220"/>
      <c r="WD422" s="220"/>
      <c r="WE422" s="220"/>
      <c r="WF422" s="220"/>
      <c r="WG422" s="220"/>
      <c r="WH422" s="220"/>
      <c r="WI422" s="220"/>
      <c r="WJ422" s="220"/>
      <c r="WK422" s="220"/>
      <c r="WL422" s="220"/>
      <c r="WM422" s="220"/>
      <c r="WN422" s="220"/>
      <c r="WO422" s="220"/>
      <c r="WP422" s="220"/>
      <c r="WQ422" s="220"/>
      <c r="WR422" s="220"/>
      <c r="WS422" s="220"/>
      <c r="WT422" s="220"/>
      <c r="WU422" s="220"/>
      <c r="WV422" s="220"/>
      <c r="WW422" s="220"/>
      <c r="WX422" s="220"/>
      <c r="WY422" s="220"/>
      <c r="WZ422" s="220"/>
      <c r="XA422" s="220"/>
      <c r="XB422" s="220"/>
      <c r="XC422" s="220"/>
      <c r="XD422" s="220"/>
      <c r="XE422" s="220"/>
      <c r="XF422" s="220"/>
      <c r="XG422" s="220"/>
      <c r="XH422" s="220"/>
      <c r="XI422" s="220"/>
      <c r="XJ422" s="220"/>
      <c r="XK422" s="220"/>
      <c r="XL422" s="220"/>
      <c r="XM422" s="220"/>
      <c r="XN422" s="220"/>
      <c r="XO422" s="220"/>
      <c r="XP422" s="220"/>
      <c r="XQ422" s="220"/>
      <c r="XR422" s="220"/>
      <c r="XS422" s="220"/>
      <c r="XT422" s="220"/>
      <c r="XU422" s="220"/>
      <c r="XV422" s="220"/>
      <c r="XW422" s="220"/>
      <c r="XX422" s="220"/>
      <c r="XY422" s="220"/>
      <c r="XZ422" s="220"/>
      <c r="YA422" s="220"/>
      <c r="YB422" s="220"/>
      <c r="YC422" s="220"/>
      <c r="YD422" s="220"/>
      <c r="YE422" s="220"/>
      <c r="YF422" s="220"/>
      <c r="YG422" s="220"/>
      <c r="YH422" s="220"/>
      <c r="YI422" s="220"/>
      <c r="YJ422" s="220"/>
      <c r="YK422" s="220"/>
      <c r="YL422" s="220"/>
      <c r="YM422" s="220"/>
      <c r="YN422" s="220"/>
      <c r="YO422" s="220"/>
      <c r="YP422" s="220"/>
      <c r="YQ422" s="220"/>
      <c r="YR422" s="220"/>
      <c r="YS422" s="220"/>
      <c r="YT422" s="220"/>
      <c r="YU422" s="220"/>
      <c r="YV422" s="220"/>
      <c r="YW422" s="220"/>
      <c r="YX422" s="220"/>
      <c r="YY422" s="220"/>
      <c r="YZ422" s="220"/>
      <c r="ZA422" s="220"/>
      <c r="ZB422" s="220"/>
      <c r="ZC422" s="220"/>
      <c r="ZD422" s="220"/>
      <c r="ZE422" s="220"/>
      <c r="ZF422" s="220"/>
      <c r="ZG422" s="220"/>
      <c r="ZH422" s="220"/>
      <c r="ZI422" s="220"/>
      <c r="ZJ422" s="220"/>
      <c r="ZK422" s="220"/>
      <c r="ZL422" s="220"/>
      <c r="ZM422" s="220"/>
      <c r="ZN422" s="220"/>
      <c r="ZO422" s="220"/>
      <c r="ZP422" s="220"/>
      <c r="ZQ422" s="220"/>
      <c r="ZR422" s="220"/>
      <c r="ZS422" s="220"/>
      <c r="ZT422" s="220"/>
      <c r="ZU422" s="220"/>
      <c r="ZV422" s="220"/>
      <c r="ZW422" s="220"/>
      <c r="ZX422" s="220"/>
      <c r="ZY422" s="220"/>
      <c r="ZZ422" s="220"/>
      <c r="AAA422" s="220"/>
      <c r="AAB422" s="220"/>
      <c r="AAC422" s="220"/>
      <c r="AAD422" s="220"/>
      <c r="AAE422" s="220"/>
      <c r="AAF422" s="220"/>
      <c r="AAG422" s="220"/>
      <c r="AAH422" s="220"/>
      <c r="AAI422" s="220"/>
      <c r="AAJ422" s="220"/>
      <c r="AAK422" s="220"/>
      <c r="AAL422" s="220"/>
      <c r="AAM422" s="220"/>
      <c r="AAN422" s="220"/>
      <c r="AAO422" s="220"/>
      <c r="AAP422" s="220"/>
      <c r="AAQ422" s="220"/>
      <c r="AAR422" s="220"/>
      <c r="AAS422" s="220"/>
      <c r="AAT422" s="220"/>
      <c r="AAU422" s="220"/>
      <c r="AAV422" s="220"/>
      <c r="AAW422" s="220"/>
      <c r="AAX422" s="220"/>
      <c r="AAY422" s="220"/>
      <c r="AAZ422" s="220"/>
      <c r="ABA422" s="220"/>
      <c r="ABB422" s="220"/>
      <c r="ABC422" s="220"/>
      <c r="ABD422" s="220"/>
      <c r="ABE422" s="220"/>
      <c r="ABF422" s="220"/>
      <c r="ABG422" s="220"/>
    </row>
    <row r="423" spans="1:735" s="246" customFormat="1" ht="24.75" x14ac:dyDescent="0.2">
      <c r="A423" s="180">
        <v>6223</v>
      </c>
      <c r="B423" s="135" t="s">
        <v>330</v>
      </c>
      <c r="C423" s="136">
        <v>515000</v>
      </c>
      <c r="D423" s="136">
        <v>515000</v>
      </c>
      <c r="E423" s="121">
        <v>2010.25</v>
      </c>
      <c r="F423" s="130"/>
      <c r="G423" s="120">
        <f t="shared" si="153"/>
        <v>0.39033980582524275</v>
      </c>
      <c r="H423" s="120">
        <f>E423/D423*100</f>
        <v>0.39033980582524275</v>
      </c>
      <c r="I423" s="120">
        <f>E423/J423*100</f>
        <v>1.1444914393008199</v>
      </c>
      <c r="J423" s="129">
        <v>175645.7</v>
      </c>
      <c r="K423" s="220"/>
      <c r="L423" s="220"/>
      <c r="M423" s="220"/>
      <c r="N423" s="220"/>
      <c r="O423" s="220"/>
      <c r="P423" s="220"/>
      <c r="Q423" s="220"/>
      <c r="R423" s="220"/>
      <c r="S423" s="220"/>
      <c r="T423" s="220"/>
      <c r="U423" s="220"/>
      <c r="V423" s="220"/>
      <c r="W423" s="220"/>
      <c r="X423" s="220"/>
      <c r="Y423" s="220"/>
      <c r="Z423" s="220"/>
      <c r="AA423" s="220"/>
      <c r="AB423" s="220"/>
      <c r="AC423" s="220"/>
      <c r="AD423" s="220"/>
      <c r="AE423" s="220"/>
      <c r="AF423" s="220"/>
      <c r="AG423" s="220"/>
      <c r="AH423" s="220"/>
      <c r="AI423" s="220"/>
      <c r="AJ423" s="220"/>
      <c r="AK423" s="220"/>
      <c r="AL423" s="220"/>
      <c r="AM423" s="220"/>
      <c r="AN423" s="220"/>
      <c r="AO423" s="220"/>
      <c r="AP423" s="220"/>
      <c r="AQ423" s="220"/>
      <c r="AR423" s="220"/>
      <c r="AS423" s="220"/>
      <c r="AT423" s="220"/>
      <c r="AU423" s="220"/>
      <c r="AV423" s="220"/>
      <c r="AW423" s="220"/>
      <c r="AX423" s="220"/>
      <c r="AY423" s="220"/>
      <c r="AZ423" s="220"/>
      <c r="BA423" s="220"/>
      <c r="BB423" s="220"/>
      <c r="BC423" s="220"/>
      <c r="BD423" s="220"/>
      <c r="BE423" s="220"/>
      <c r="BF423" s="220"/>
      <c r="BG423" s="220"/>
      <c r="BH423" s="220"/>
      <c r="BI423" s="220"/>
      <c r="BJ423" s="220"/>
      <c r="BK423" s="220"/>
      <c r="BL423" s="220"/>
      <c r="BM423" s="220"/>
      <c r="BN423" s="220"/>
      <c r="BO423" s="220"/>
      <c r="BP423" s="220"/>
      <c r="BQ423" s="220"/>
      <c r="BR423" s="220"/>
      <c r="BS423" s="220"/>
      <c r="BT423" s="220"/>
      <c r="BU423" s="220"/>
      <c r="BV423" s="220"/>
      <c r="BW423" s="220"/>
      <c r="BX423" s="220"/>
      <c r="BY423" s="220"/>
      <c r="BZ423" s="220"/>
      <c r="CA423" s="220"/>
      <c r="CB423" s="220"/>
      <c r="CC423" s="220"/>
      <c r="CD423" s="220"/>
      <c r="CE423" s="220"/>
      <c r="CF423" s="220"/>
      <c r="CG423" s="220"/>
      <c r="CH423" s="220"/>
      <c r="CI423" s="220"/>
      <c r="CJ423" s="220"/>
      <c r="CK423" s="220"/>
      <c r="CL423" s="220"/>
      <c r="CM423" s="220"/>
      <c r="CN423" s="220"/>
      <c r="CO423" s="220"/>
      <c r="CP423" s="220"/>
      <c r="CQ423" s="220"/>
      <c r="CR423" s="220"/>
      <c r="CS423" s="220"/>
      <c r="CT423" s="220"/>
      <c r="CU423" s="220"/>
      <c r="CV423" s="220"/>
      <c r="CW423" s="220"/>
      <c r="CX423" s="220"/>
      <c r="CY423" s="220"/>
      <c r="CZ423" s="220"/>
      <c r="DA423" s="220"/>
      <c r="DB423" s="220"/>
      <c r="DC423" s="220"/>
      <c r="DD423" s="220"/>
      <c r="DE423" s="220"/>
      <c r="DF423" s="220"/>
      <c r="DG423" s="220"/>
      <c r="DH423" s="220"/>
      <c r="DI423" s="220"/>
      <c r="DJ423" s="220"/>
      <c r="DK423" s="220"/>
      <c r="DL423" s="220"/>
      <c r="DM423" s="220"/>
      <c r="DN423" s="220"/>
      <c r="DO423" s="220"/>
      <c r="DP423" s="220"/>
      <c r="DQ423" s="220"/>
      <c r="DR423" s="220"/>
      <c r="DS423" s="220"/>
      <c r="DT423" s="220"/>
      <c r="DU423" s="220"/>
      <c r="DV423" s="220"/>
      <c r="DW423" s="220"/>
      <c r="DX423" s="220"/>
      <c r="DY423" s="220"/>
      <c r="DZ423" s="220"/>
      <c r="EA423" s="220"/>
      <c r="EB423" s="220"/>
      <c r="EC423" s="220"/>
      <c r="ED423" s="220"/>
      <c r="EE423" s="220"/>
      <c r="EF423" s="220"/>
      <c r="EG423" s="220"/>
      <c r="EH423" s="220"/>
      <c r="EI423" s="220"/>
      <c r="EJ423" s="220"/>
      <c r="EK423" s="220"/>
      <c r="EL423" s="220"/>
      <c r="EM423" s="220"/>
      <c r="EN423" s="220"/>
      <c r="EO423" s="220"/>
      <c r="EP423" s="220"/>
      <c r="EQ423" s="220"/>
      <c r="ER423" s="220"/>
      <c r="ES423" s="220"/>
      <c r="ET423" s="220"/>
      <c r="EU423" s="220"/>
      <c r="EV423" s="220"/>
      <c r="EW423" s="220"/>
      <c r="EX423" s="220"/>
      <c r="EY423" s="220"/>
      <c r="EZ423" s="220"/>
      <c r="FA423" s="220"/>
      <c r="FB423" s="220"/>
      <c r="FC423" s="220"/>
      <c r="FD423" s="220"/>
      <c r="FE423" s="220"/>
      <c r="FF423" s="220"/>
      <c r="FG423" s="220"/>
      <c r="FH423" s="220"/>
      <c r="FI423" s="220"/>
      <c r="FJ423" s="220"/>
      <c r="FK423" s="220"/>
      <c r="FL423" s="220"/>
      <c r="FM423" s="220"/>
      <c r="FN423" s="220"/>
      <c r="FO423" s="220"/>
      <c r="FP423" s="220"/>
      <c r="FQ423" s="220"/>
      <c r="FR423" s="220"/>
      <c r="FS423" s="220"/>
      <c r="FT423" s="220"/>
      <c r="FU423" s="220"/>
      <c r="FV423" s="220"/>
      <c r="FW423" s="220"/>
      <c r="FX423" s="220"/>
      <c r="FY423" s="220"/>
      <c r="FZ423" s="220"/>
      <c r="GA423" s="220"/>
      <c r="GB423" s="220"/>
      <c r="GC423" s="220"/>
      <c r="GD423" s="220"/>
      <c r="GE423" s="220"/>
      <c r="GF423" s="220"/>
      <c r="GG423" s="220"/>
      <c r="GH423" s="220"/>
      <c r="GI423" s="220"/>
      <c r="GJ423" s="220"/>
      <c r="GK423" s="220"/>
      <c r="GL423" s="220"/>
      <c r="GM423" s="220"/>
      <c r="GN423" s="220"/>
      <c r="GO423" s="220"/>
      <c r="GP423" s="220"/>
      <c r="GQ423" s="220"/>
      <c r="GR423" s="220"/>
      <c r="GS423" s="220"/>
      <c r="GT423" s="220"/>
      <c r="GU423" s="220"/>
      <c r="GV423" s="220"/>
      <c r="GW423" s="220"/>
      <c r="GX423" s="220"/>
      <c r="GY423" s="220"/>
      <c r="GZ423" s="220"/>
      <c r="HA423" s="220"/>
      <c r="HB423" s="220"/>
      <c r="HC423" s="220"/>
      <c r="HD423" s="220"/>
      <c r="HE423" s="220"/>
      <c r="HF423" s="220"/>
      <c r="HG423" s="220"/>
      <c r="HH423" s="220"/>
      <c r="HI423" s="220"/>
      <c r="HJ423" s="220"/>
      <c r="HK423" s="220"/>
      <c r="HL423" s="220"/>
      <c r="HM423" s="220"/>
      <c r="HN423" s="220"/>
      <c r="HO423" s="220"/>
      <c r="HP423" s="220"/>
      <c r="HQ423" s="220"/>
      <c r="HR423" s="220"/>
      <c r="HS423" s="220"/>
      <c r="HT423" s="220"/>
      <c r="HU423" s="220"/>
      <c r="HV423" s="220"/>
      <c r="HW423" s="220"/>
      <c r="HX423" s="220"/>
      <c r="HY423" s="220"/>
      <c r="HZ423" s="220"/>
      <c r="IA423" s="220"/>
      <c r="IB423" s="220"/>
      <c r="IC423" s="220"/>
      <c r="ID423" s="220"/>
      <c r="IE423" s="220"/>
      <c r="IF423" s="220"/>
      <c r="IG423" s="220"/>
      <c r="IH423" s="220"/>
      <c r="II423" s="220"/>
      <c r="IJ423" s="220"/>
      <c r="IK423" s="220"/>
      <c r="IL423" s="220"/>
      <c r="IM423" s="220"/>
      <c r="IN423" s="220"/>
      <c r="IO423" s="220"/>
      <c r="IP423" s="220"/>
      <c r="IQ423" s="220"/>
      <c r="IR423" s="220"/>
      <c r="IS423" s="220"/>
      <c r="IT423" s="220"/>
      <c r="IU423" s="220"/>
      <c r="IV423" s="220"/>
      <c r="IW423" s="220"/>
      <c r="IX423" s="220"/>
      <c r="IY423" s="220"/>
      <c r="IZ423" s="220"/>
      <c r="JA423" s="220"/>
      <c r="JB423" s="220"/>
      <c r="JC423" s="220"/>
      <c r="JD423" s="220"/>
      <c r="JE423" s="220"/>
      <c r="JF423" s="220"/>
      <c r="JG423" s="220"/>
      <c r="JH423" s="220"/>
      <c r="JI423" s="220"/>
      <c r="JJ423" s="220"/>
      <c r="JK423" s="220"/>
      <c r="JL423" s="220"/>
      <c r="JM423" s="220"/>
      <c r="JN423" s="220"/>
      <c r="JO423" s="220"/>
      <c r="JP423" s="220"/>
      <c r="JQ423" s="220"/>
      <c r="JR423" s="220"/>
      <c r="JS423" s="220"/>
      <c r="JT423" s="220"/>
      <c r="JU423" s="220"/>
      <c r="JV423" s="220"/>
      <c r="JW423" s="220"/>
      <c r="JX423" s="220"/>
      <c r="JY423" s="220"/>
      <c r="JZ423" s="220"/>
      <c r="KA423" s="220"/>
      <c r="KB423" s="220"/>
      <c r="KC423" s="220"/>
      <c r="KD423" s="220"/>
      <c r="KE423" s="220"/>
      <c r="KF423" s="220"/>
      <c r="KG423" s="220"/>
      <c r="KH423" s="220"/>
      <c r="KI423" s="220"/>
      <c r="KJ423" s="220"/>
      <c r="KK423" s="220"/>
      <c r="KL423" s="220"/>
      <c r="KM423" s="220"/>
      <c r="KN423" s="220"/>
      <c r="KO423" s="220"/>
      <c r="KP423" s="220"/>
      <c r="KQ423" s="220"/>
      <c r="KR423" s="220"/>
      <c r="KS423" s="220"/>
      <c r="KT423" s="220"/>
      <c r="KU423" s="220"/>
      <c r="KV423" s="220"/>
      <c r="KW423" s="220"/>
      <c r="KX423" s="220"/>
      <c r="KY423" s="220"/>
      <c r="KZ423" s="220"/>
      <c r="LA423" s="220"/>
      <c r="LB423" s="220"/>
      <c r="LC423" s="220"/>
      <c r="LD423" s="220"/>
      <c r="LE423" s="220"/>
      <c r="LF423" s="220"/>
      <c r="LG423" s="220"/>
      <c r="LH423" s="220"/>
      <c r="LI423" s="220"/>
      <c r="LJ423" s="220"/>
      <c r="LK423" s="220"/>
      <c r="LL423" s="220"/>
      <c r="LM423" s="220"/>
      <c r="LN423" s="220"/>
      <c r="LO423" s="220"/>
      <c r="LP423" s="220"/>
      <c r="LQ423" s="220"/>
      <c r="LR423" s="220"/>
      <c r="LS423" s="220"/>
      <c r="LT423" s="220"/>
      <c r="LU423" s="220"/>
      <c r="LV423" s="220"/>
      <c r="LW423" s="220"/>
      <c r="LX423" s="220"/>
      <c r="LY423" s="220"/>
      <c r="LZ423" s="220"/>
      <c r="MA423" s="220"/>
      <c r="MB423" s="220"/>
      <c r="MC423" s="220"/>
      <c r="MD423" s="220"/>
      <c r="ME423" s="220"/>
      <c r="MF423" s="220"/>
      <c r="MG423" s="220"/>
      <c r="MH423" s="220"/>
      <c r="MI423" s="220"/>
      <c r="MJ423" s="220"/>
      <c r="MK423" s="220"/>
      <c r="ML423" s="220"/>
      <c r="MM423" s="220"/>
      <c r="MN423" s="220"/>
      <c r="MO423" s="220"/>
      <c r="MP423" s="220"/>
      <c r="MQ423" s="220"/>
      <c r="MR423" s="220"/>
      <c r="MS423" s="220"/>
      <c r="MT423" s="220"/>
      <c r="MU423" s="220"/>
      <c r="MV423" s="220"/>
      <c r="MW423" s="220"/>
      <c r="MX423" s="220"/>
      <c r="MY423" s="220"/>
      <c r="MZ423" s="220"/>
      <c r="NA423" s="220"/>
      <c r="NB423" s="220"/>
      <c r="NC423" s="220"/>
      <c r="ND423" s="220"/>
      <c r="NE423" s="220"/>
      <c r="NF423" s="220"/>
      <c r="NG423" s="220"/>
      <c r="NH423" s="220"/>
      <c r="NI423" s="220"/>
      <c r="NJ423" s="220"/>
      <c r="NK423" s="220"/>
      <c r="NL423" s="220"/>
      <c r="NM423" s="220"/>
      <c r="NN423" s="220"/>
      <c r="NO423" s="220"/>
      <c r="NP423" s="220"/>
      <c r="NQ423" s="220"/>
      <c r="NR423" s="220"/>
      <c r="NS423" s="220"/>
      <c r="NT423" s="220"/>
      <c r="NU423" s="220"/>
      <c r="NV423" s="220"/>
      <c r="NW423" s="220"/>
      <c r="NX423" s="220"/>
      <c r="NY423" s="220"/>
      <c r="NZ423" s="220"/>
      <c r="OA423" s="220"/>
      <c r="OB423" s="220"/>
      <c r="OC423" s="220"/>
      <c r="OD423" s="220"/>
      <c r="OE423" s="220"/>
      <c r="OF423" s="220"/>
      <c r="OG423" s="220"/>
      <c r="OH423" s="220"/>
      <c r="OI423" s="220"/>
      <c r="OJ423" s="220"/>
      <c r="OK423" s="220"/>
      <c r="OL423" s="220"/>
      <c r="OM423" s="220"/>
      <c r="ON423" s="220"/>
      <c r="OO423" s="220"/>
      <c r="OP423" s="220"/>
      <c r="OQ423" s="220"/>
      <c r="OR423" s="220"/>
      <c r="OS423" s="220"/>
      <c r="OT423" s="220"/>
      <c r="OU423" s="220"/>
      <c r="OV423" s="220"/>
      <c r="OW423" s="220"/>
      <c r="OX423" s="220"/>
      <c r="OY423" s="220"/>
      <c r="OZ423" s="220"/>
      <c r="PA423" s="220"/>
      <c r="PB423" s="220"/>
      <c r="PC423" s="220"/>
      <c r="PD423" s="220"/>
      <c r="PE423" s="220"/>
      <c r="PF423" s="220"/>
      <c r="PG423" s="220"/>
      <c r="PH423" s="220"/>
      <c r="PI423" s="220"/>
      <c r="PJ423" s="220"/>
      <c r="PK423" s="220"/>
      <c r="PL423" s="220"/>
      <c r="PM423" s="220"/>
      <c r="PN423" s="220"/>
      <c r="PO423" s="220"/>
      <c r="PP423" s="220"/>
      <c r="PQ423" s="220"/>
      <c r="PR423" s="220"/>
      <c r="PS423" s="220"/>
      <c r="PT423" s="220"/>
      <c r="PU423" s="220"/>
      <c r="PV423" s="220"/>
      <c r="PW423" s="220"/>
      <c r="PX423" s="220"/>
      <c r="PY423" s="220"/>
      <c r="PZ423" s="220"/>
      <c r="QA423" s="220"/>
      <c r="QB423" s="220"/>
      <c r="QC423" s="220"/>
      <c r="QD423" s="220"/>
      <c r="QE423" s="220"/>
      <c r="QF423" s="220"/>
      <c r="QG423" s="220"/>
      <c r="QH423" s="220"/>
      <c r="QI423" s="220"/>
      <c r="QJ423" s="220"/>
      <c r="QK423" s="220"/>
      <c r="QL423" s="220"/>
      <c r="QM423" s="220"/>
      <c r="QN423" s="220"/>
      <c r="QO423" s="220"/>
      <c r="QP423" s="220"/>
      <c r="QQ423" s="220"/>
      <c r="QR423" s="220"/>
      <c r="QS423" s="220"/>
      <c r="QT423" s="220"/>
      <c r="QU423" s="220"/>
      <c r="QV423" s="220"/>
      <c r="QW423" s="220"/>
      <c r="QX423" s="220"/>
      <c r="QY423" s="220"/>
      <c r="QZ423" s="220"/>
      <c r="RA423" s="220"/>
      <c r="RB423" s="220"/>
      <c r="RC423" s="220"/>
      <c r="RD423" s="220"/>
      <c r="RE423" s="220"/>
      <c r="RF423" s="220"/>
      <c r="RG423" s="220"/>
      <c r="RH423" s="220"/>
      <c r="RI423" s="220"/>
      <c r="RJ423" s="220"/>
      <c r="RK423" s="220"/>
      <c r="RL423" s="220"/>
      <c r="RM423" s="220"/>
      <c r="RN423" s="220"/>
      <c r="RO423" s="220"/>
      <c r="RP423" s="220"/>
      <c r="RQ423" s="220"/>
      <c r="RR423" s="220"/>
      <c r="RS423" s="220"/>
      <c r="RT423" s="220"/>
      <c r="RU423" s="220"/>
      <c r="RV423" s="220"/>
      <c r="RW423" s="220"/>
      <c r="RX423" s="220"/>
      <c r="RY423" s="220"/>
      <c r="RZ423" s="220"/>
      <c r="SA423" s="220"/>
      <c r="SB423" s="220"/>
      <c r="SC423" s="220"/>
      <c r="SD423" s="220"/>
      <c r="SE423" s="220"/>
      <c r="SF423" s="220"/>
      <c r="SG423" s="220"/>
      <c r="SH423" s="220"/>
      <c r="SI423" s="220"/>
      <c r="SJ423" s="220"/>
      <c r="SK423" s="220"/>
      <c r="SL423" s="220"/>
      <c r="SM423" s="220"/>
      <c r="SN423" s="220"/>
      <c r="SO423" s="220"/>
      <c r="SP423" s="220"/>
      <c r="SQ423" s="220"/>
      <c r="SR423" s="220"/>
      <c r="SS423" s="220"/>
      <c r="ST423" s="220"/>
      <c r="SU423" s="220"/>
      <c r="SV423" s="220"/>
      <c r="SW423" s="220"/>
      <c r="SX423" s="220"/>
      <c r="SY423" s="220"/>
      <c r="SZ423" s="220"/>
      <c r="TA423" s="220"/>
      <c r="TB423" s="220"/>
      <c r="TC423" s="220"/>
      <c r="TD423" s="220"/>
      <c r="TE423" s="220"/>
      <c r="TF423" s="220"/>
      <c r="TG423" s="220"/>
      <c r="TH423" s="220"/>
      <c r="TI423" s="220"/>
      <c r="TJ423" s="220"/>
      <c r="TK423" s="220"/>
      <c r="TL423" s="220"/>
      <c r="TM423" s="220"/>
      <c r="TN423" s="220"/>
      <c r="TO423" s="220"/>
      <c r="TP423" s="220"/>
      <c r="TQ423" s="220"/>
      <c r="TR423" s="220"/>
      <c r="TS423" s="220"/>
      <c r="TT423" s="220"/>
      <c r="TU423" s="220"/>
      <c r="TV423" s="220"/>
      <c r="TW423" s="220"/>
      <c r="TX423" s="220"/>
      <c r="TY423" s="220"/>
      <c r="TZ423" s="220"/>
      <c r="UA423" s="220"/>
      <c r="UB423" s="220"/>
      <c r="UC423" s="220"/>
      <c r="UD423" s="220"/>
      <c r="UE423" s="220"/>
      <c r="UF423" s="220"/>
      <c r="UG423" s="220"/>
      <c r="UH423" s="220"/>
      <c r="UI423" s="220"/>
      <c r="UJ423" s="220"/>
      <c r="UK423" s="220"/>
      <c r="UL423" s="220"/>
      <c r="UM423" s="220"/>
      <c r="UN423" s="220"/>
      <c r="UO423" s="220"/>
      <c r="UP423" s="220"/>
      <c r="UQ423" s="220"/>
      <c r="UR423" s="220"/>
      <c r="US423" s="220"/>
      <c r="UT423" s="220"/>
      <c r="UU423" s="220"/>
      <c r="UV423" s="220"/>
      <c r="UW423" s="220"/>
      <c r="UX423" s="220"/>
      <c r="UY423" s="220"/>
      <c r="UZ423" s="220"/>
      <c r="VA423" s="220"/>
      <c r="VB423" s="220"/>
      <c r="VC423" s="220"/>
      <c r="VD423" s="220"/>
      <c r="VE423" s="220"/>
      <c r="VF423" s="220"/>
      <c r="VG423" s="220"/>
      <c r="VH423" s="220"/>
      <c r="VI423" s="220"/>
      <c r="VJ423" s="220"/>
      <c r="VK423" s="220"/>
      <c r="VL423" s="220"/>
      <c r="VM423" s="220"/>
      <c r="VN423" s="220"/>
      <c r="VO423" s="220"/>
      <c r="VP423" s="220"/>
      <c r="VQ423" s="220"/>
      <c r="VR423" s="220"/>
      <c r="VS423" s="220"/>
      <c r="VT423" s="220"/>
      <c r="VU423" s="220"/>
      <c r="VV423" s="220"/>
      <c r="VW423" s="220"/>
      <c r="VX423" s="220"/>
      <c r="VY423" s="220"/>
      <c r="VZ423" s="220"/>
      <c r="WA423" s="220"/>
      <c r="WB423" s="220"/>
      <c r="WC423" s="220"/>
      <c r="WD423" s="220"/>
      <c r="WE423" s="220"/>
      <c r="WF423" s="220"/>
      <c r="WG423" s="220"/>
      <c r="WH423" s="220"/>
      <c r="WI423" s="220"/>
      <c r="WJ423" s="220"/>
      <c r="WK423" s="220"/>
      <c r="WL423" s="220"/>
      <c r="WM423" s="220"/>
      <c r="WN423" s="220"/>
      <c r="WO423" s="220"/>
      <c r="WP423" s="220"/>
      <c r="WQ423" s="220"/>
      <c r="WR423" s="220"/>
      <c r="WS423" s="220"/>
      <c r="WT423" s="220"/>
      <c r="WU423" s="220"/>
      <c r="WV423" s="220"/>
      <c r="WW423" s="220"/>
      <c r="WX423" s="220"/>
      <c r="WY423" s="220"/>
      <c r="WZ423" s="220"/>
      <c r="XA423" s="220"/>
      <c r="XB423" s="220"/>
      <c r="XC423" s="220"/>
      <c r="XD423" s="220"/>
      <c r="XE423" s="220"/>
      <c r="XF423" s="220"/>
      <c r="XG423" s="220"/>
      <c r="XH423" s="220"/>
      <c r="XI423" s="220"/>
      <c r="XJ423" s="220"/>
      <c r="XK423" s="220"/>
      <c r="XL423" s="220"/>
      <c r="XM423" s="220"/>
      <c r="XN423" s="220"/>
      <c r="XO423" s="220"/>
      <c r="XP423" s="220"/>
      <c r="XQ423" s="220"/>
      <c r="XR423" s="220"/>
      <c r="XS423" s="220"/>
      <c r="XT423" s="220"/>
      <c r="XU423" s="220"/>
      <c r="XV423" s="220"/>
      <c r="XW423" s="220"/>
      <c r="XX423" s="220"/>
      <c r="XY423" s="220"/>
      <c r="XZ423" s="220"/>
      <c r="YA423" s="220"/>
      <c r="YB423" s="220"/>
      <c r="YC423" s="220"/>
      <c r="YD423" s="220"/>
      <c r="YE423" s="220"/>
      <c r="YF423" s="220"/>
      <c r="YG423" s="220"/>
      <c r="YH423" s="220"/>
      <c r="YI423" s="220"/>
      <c r="YJ423" s="220"/>
      <c r="YK423" s="220"/>
      <c r="YL423" s="220"/>
      <c r="YM423" s="220"/>
      <c r="YN423" s="220"/>
      <c r="YO423" s="220"/>
      <c r="YP423" s="220"/>
      <c r="YQ423" s="220"/>
      <c r="YR423" s="220"/>
      <c r="YS423" s="220"/>
      <c r="YT423" s="220"/>
      <c r="YU423" s="220"/>
      <c r="YV423" s="220"/>
      <c r="YW423" s="220"/>
      <c r="YX423" s="220"/>
      <c r="YY423" s="220"/>
      <c r="YZ423" s="220"/>
      <c r="ZA423" s="220"/>
      <c r="ZB423" s="220"/>
      <c r="ZC423" s="220"/>
      <c r="ZD423" s="220"/>
      <c r="ZE423" s="220"/>
      <c r="ZF423" s="220"/>
      <c r="ZG423" s="220"/>
      <c r="ZH423" s="220"/>
      <c r="ZI423" s="220"/>
      <c r="ZJ423" s="220"/>
      <c r="ZK423" s="220"/>
      <c r="ZL423" s="220"/>
      <c r="ZM423" s="220"/>
      <c r="ZN423" s="220"/>
      <c r="ZO423" s="220"/>
      <c r="ZP423" s="220"/>
      <c r="ZQ423" s="220"/>
      <c r="ZR423" s="220"/>
      <c r="ZS423" s="220"/>
      <c r="ZT423" s="220"/>
      <c r="ZU423" s="220"/>
      <c r="ZV423" s="220"/>
      <c r="ZW423" s="220"/>
      <c r="ZX423" s="220"/>
      <c r="ZY423" s="220"/>
      <c r="ZZ423" s="220"/>
      <c r="AAA423" s="220"/>
      <c r="AAB423" s="220"/>
      <c r="AAC423" s="220"/>
      <c r="AAD423" s="220"/>
      <c r="AAE423" s="220"/>
      <c r="AAF423" s="220"/>
      <c r="AAG423" s="220"/>
      <c r="AAH423" s="220"/>
      <c r="AAI423" s="220"/>
      <c r="AAJ423" s="220"/>
      <c r="AAK423" s="220"/>
      <c r="AAL423" s="220"/>
      <c r="AAM423" s="220"/>
      <c r="AAN423" s="220"/>
      <c r="AAO423" s="220"/>
      <c r="AAP423" s="220"/>
      <c r="AAQ423" s="220"/>
      <c r="AAR423" s="220"/>
      <c r="AAS423" s="220"/>
      <c r="AAT423" s="220"/>
      <c r="AAU423" s="220"/>
      <c r="AAV423" s="220"/>
      <c r="AAW423" s="220"/>
      <c r="AAX423" s="220"/>
      <c r="AAY423" s="220"/>
      <c r="AAZ423" s="220"/>
      <c r="ABA423" s="220"/>
      <c r="ABB423" s="220"/>
      <c r="ABC423" s="220"/>
      <c r="ABD423" s="220"/>
      <c r="ABE423" s="220"/>
      <c r="ABF423" s="220"/>
      <c r="ABG423" s="220"/>
    </row>
    <row r="424" spans="1:735" s="220" customFormat="1" ht="13.5" thickBot="1" x14ac:dyDescent="0.25">
      <c r="A424" s="245"/>
      <c r="B424" s="168"/>
      <c r="C424" s="117"/>
      <c r="D424" s="117"/>
      <c r="E424" s="117"/>
      <c r="F424" s="117"/>
      <c r="G424" s="151"/>
      <c r="H424" s="151"/>
      <c r="I424" s="151"/>
      <c r="J424" s="129"/>
    </row>
    <row r="425" spans="1:735" s="3" customFormat="1" ht="21" thickBot="1" x14ac:dyDescent="0.25">
      <c r="A425" s="244"/>
      <c r="B425" s="243" t="s">
        <v>329</v>
      </c>
      <c r="C425" s="242">
        <f>SUM(C426,C428)</f>
        <v>7038417</v>
      </c>
      <c r="D425" s="242">
        <f>SUM(D426,D428)</f>
        <v>6888417</v>
      </c>
      <c r="E425" s="181">
        <v>3222352.5</v>
      </c>
      <c r="F425" s="317">
        <f>SUM(E426,E428)</f>
        <v>3222352.5</v>
      </c>
      <c r="G425" s="571">
        <f>E425/C425*100</f>
        <v>45.782347081737271</v>
      </c>
      <c r="H425" s="181">
        <f>E425/D425*100</f>
        <v>46.779289058719876</v>
      </c>
      <c r="I425" s="181">
        <f>E425/J425*100</f>
        <v>101.0708828667367</v>
      </c>
      <c r="J425" s="129">
        <v>3188210.5</v>
      </c>
      <c r="K425" s="220"/>
      <c r="L425" s="220"/>
      <c r="M425" s="220"/>
      <c r="N425" s="220"/>
      <c r="O425" s="220"/>
      <c r="P425" s="220"/>
      <c r="Q425" s="220"/>
      <c r="R425" s="220"/>
      <c r="S425" s="220"/>
      <c r="T425" s="220"/>
      <c r="U425" s="220"/>
      <c r="V425" s="220"/>
      <c r="W425" s="220"/>
      <c r="X425" s="220"/>
      <c r="Y425" s="220"/>
      <c r="Z425" s="220"/>
      <c r="AA425" s="220"/>
      <c r="AB425" s="220"/>
      <c r="AC425" s="220"/>
      <c r="AD425" s="220"/>
      <c r="AE425" s="220"/>
      <c r="AF425" s="220"/>
      <c r="AG425" s="220"/>
      <c r="AH425" s="220"/>
      <c r="AI425" s="220"/>
      <c r="AJ425" s="220"/>
      <c r="AK425" s="220"/>
      <c r="AL425" s="220"/>
      <c r="AM425" s="220"/>
      <c r="AN425" s="220"/>
      <c r="AO425" s="220"/>
      <c r="AP425" s="220"/>
      <c r="AQ425" s="220"/>
      <c r="AR425" s="220"/>
      <c r="AS425" s="220"/>
      <c r="AT425" s="220"/>
      <c r="AU425" s="220"/>
      <c r="AV425" s="220"/>
      <c r="AW425" s="220"/>
      <c r="AX425" s="220"/>
      <c r="AY425" s="220"/>
      <c r="AZ425" s="220"/>
      <c r="BA425" s="220"/>
      <c r="BB425" s="220"/>
      <c r="BC425" s="220"/>
      <c r="BD425" s="220"/>
      <c r="BE425" s="220"/>
      <c r="BF425" s="220"/>
      <c r="BG425" s="220"/>
      <c r="BH425" s="220"/>
      <c r="BI425" s="220"/>
      <c r="BJ425" s="220"/>
      <c r="BK425" s="220"/>
      <c r="BL425" s="220"/>
      <c r="BM425" s="220"/>
      <c r="BN425" s="220"/>
      <c r="BO425" s="220"/>
      <c r="BP425" s="220"/>
      <c r="BQ425" s="220"/>
      <c r="BR425" s="220"/>
      <c r="BS425" s="220"/>
      <c r="BT425" s="220"/>
      <c r="BU425" s="220"/>
      <c r="BV425" s="220"/>
      <c r="BW425" s="220"/>
      <c r="BX425" s="220"/>
      <c r="BY425" s="220"/>
      <c r="BZ425" s="220"/>
      <c r="CA425" s="220"/>
      <c r="CB425" s="220"/>
      <c r="CC425" s="220"/>
      <c r="CD425" s="220"/>
      <c r="CE425" s="220"/>
      <c r="CF425" s="220"/>
      <c r="CG425" s="220"/>
      <c r="CH425" s="220"/>
      <c r="CI425" s="220"/>
      <c r="CJ425" s="220"/>
      <c r="CK425" s="220"/>
      <c r="CL425" s="220"/>
      <c r="CM425" s="220"/>
      <c r="CN425" s="220"/>
      <c r="CO425" s="220"/>
      <c r="CP425" s="220"/>
      <c r="CQ425" s="220"/>
      <c r="CR425" s="220"/>
      <c r="CS425" s="220"/>
      <c r="CT425" s="220"/>
      <c r="CU425" s="220"/>
      <c r="CV425" s="220"/>
      <c r="CW425" s="220"/>
      <c r="CX425" s="220"/>
      <c r="CY425" s="220"/>
      <c r="CZ425" s="220"/>
      <c r="DA425" s="220"/>
      <c r="DB425" s="220"/>
      <c r="DC425" s="220"/>
      <c r="DD425" s="220"/>
      <c r="DE425" s="220"/>
      <c r="DF425" s="220"/>
      <c r="DG425" s="220"/>
      <c r="DH425" s="220"/>
      <c r="DI425" s="220"/>
      <c r="DJ425" s="220"/>
      <c r="DK425" s="220"/>
      <c r="DL425" s="220"/>
      <c r="DM425" s="220"/>
      <c r="DN425" s="220"/>
      <c r="DO425" s="220"/>
      <c r="DP425" s="220"/>
      <c r="DQ425" s="220"/>
      <c r="DR425" s="220"/>
      <c r="DS425" s="220"/>
      <c r="DT425" s="220"/>
      <c r="DU425" s="220"/>
      <c r="DV425" s="220"/>
      <c r="DW425" s="220"/>
      <c r="DX425" s="220"/>
      <c r="DY425" s="220"/>
      <c r="DZ425" s="220"/>
      <c r="EA425" s="220"/>
      <c r="EB425" s="220"/>
      <c r="EC425" s="220"/>
      <c r="ED425" s="220"/>
      <c r="EE425" s="220"/>
      <c r="EF425" s="220"/>
      <c r="EG425" s="220"/>
      <c r="EH425" s="220"/>
      <c r="EI425" s="220"/>
      <c r="EJ425" s="220"/>
      <c r="EK425" s="220"/>
      <c r="EL425" s="220"/>
      <c r="EM425" s="220"/>
      <c r="EN425" s="220"/>
      <c r="EO425" s="220"/>
      <c r="EP425" s="220"/>
      <c r="EQ425" s="220"/>
      <c r="ER425" s="220"/>
      <c r="ES425" s="220"/>
      <c r="ET425" s="220"/>
      <c r="EU425" s="220"/>
      <c r="EV425" s="220"/>
      <c r="EW425" s="220"/>
      <c r="EX425" s="220"/>
      <c r="EY425" s="220"/>
      <c r="EZ425" s="220"/>
      <c r="FA425" s="220"/>
      <c r="FB425" s="220"/>
      <c r="FC425" s="220"/>
      <c r="FD425" s="220"/>
      <c r="FE425" s="220"/>
      <c r="FF425" s="220"/>
      <c r="FG425" s="220"/>
      <c r="FH425" s="220"/>
      <c r="FI425" s="220"/>
      <c r="FJ425" s="220"/>
      <c r="FK425" s="220"/>
      <c r="FL425" s="220"/>
      <c r="FM425" s="220"/>
      <c r="FN425" s="220"/>
      <c r="FO425" s="220"/>
      <c r="FP425" s="220"/>
      <c r="FQ425" s="220"/>
      <c r="FR425" s="220"/>
      <c r="FS425" s="220"/>
      <c r="FT425" s="220"/>
      <c r="FU425" s="220"/>
      <c r="FV425" s="220"/>
      <c r="FW425" s="220"/>
      <c r="FX425" s="220"/>
      <c r="FY425" s="220"/>
      <c r="FZ425" s="220"/>
      <c r="GA425" s="220"/>
      <c r="GB425" s="220"/>
      <c r="GC425" s="220"/>
      <c r="GD425" s="220"/>
      <c r="GE425" s="220"/>
      <c r="GF425" s="220"/>
      <c r="GG425" s="220"/>
      <c r="GH425" s="220"/>
      <c r="GI425" s="220"/>
      <c r="GJ425" s="220"/>
      <c r="GK425" s="220"/>
      <c r="GL425" s="220"/>
      <c r="GM425" s="220"/>
      <c r="GN425" s="220"/>
      <c r="GO425" s="220"/>
      <c r="GP425" s="220"/>
      <c r="GQ425" s="220"/>
      <c r="GR425" s="220"/>
      <c r="GS425" s="220"/>
      <c r="GT425" s="220"/>
      <c r="GU425" s="220"/>
      <c r="GV425" s="220"/>
      <c r="GW425" s="220"/>
      <c r="GX425" s="220"/>
      <c r="GY425" s="220"/>
      <c r="GZ425" s="220"/>
      <c r="HA425" s="220"/>
      <c r="HB425" s="220"/>
      <c r="HC425" s="220"/>
      <c r="HD425" s="220"/>
      <c r="HE425" s="220"/>
      <c r="HF425" s="220"/>
      <c r="HG425" s="220"/>
      <c r="HH425" s="220"/>
      <c r="HI425" s="220"/>
      <c r="HJ425" s="220"/>
      <c r="HK425" s="220"/>
      <c r="HL425" s="220"/>
      <c r="HM425" s="220"/>
      <c r="HN425" s="220"/>
      <c r="HO425" s="220"/>
      <c r="HP425" s="220"/>
      <c r="HQ425" s="220"/>
      <c r="HR425" s="220"/>
      <c r="HS425" s="220"/>
      <c r="HT425" s="220"/>
      <c r="HU425" s="220"/>
      <c r="HV425" s="220"/>
      <c r="HW425" s="220"/>
      <c r="HX425" s="220"/>
      <c r="HY425" s="220"/>
      <c r="HZ425" s="220"/>
      <c r="IA425" s="220"/>
      <c r="IB425" s="220"/>
      <c r="IC425" s="220"/>
      <c r="ID425" s="220"/>
      <c r="IE425" s="220"/>
      <c r="IF425" s="220"/>
      <c r="IG425" s="220"/>
      <c r="IH425" s="220"/>
      <c r="II425" s="220"/>
      <c r="IJ425" s="220"/>
      <c r="IK425" s="220"/>
      <c r="IL425" s="220"/>
      <c r="IM425" s="220"/>
      <c r="IN425" s="220"/>
      <c r="IO425" s="220"/>
      <c r="IP425" s="220"/>
      <c r="IQ425" s="220"/>
      <c r="IR425" s="220"/>
      <c r="IS425" s="220"/>
      <c r="IT425" s="220"/>
      <c r="IU425" s="220"/>
      <c r="IV425" s="220"/>
      <c r="IW425" s="220"/>
      <c r="IX425" s="220"/>
      <c r="IY425" s="220"/>
      <c r="IZ425" s="220"/>
      <c r="JA425" s="220"/>
      <c r="JB425" s="220"/>
      <c r="JC425" s="220"/>
      <c r="JD425" s="220"/>
      <c r="JE425" s="220"/>
      <c r="JF425" s="220"/>
      <c r="JG425" s="220"/>
      <c r="JH425" s="220"/>
      <c r="JI425" s="220"/>
      <c r="JJ425" s="220"/>
      <c r="JK425" s="220"/>
      <c r="JL425" s="220"/>
      <c r="JM425" s="220"/>
      <c r="JN425" s="220"/>
      <c r="JO425" s="220"/>
      <c r="JP425" s="220"/>
      <c r="JQ425" s="220"/>
      <c r="JR425" s="220"/>
      <c r="JS425" s="220"/>
      <c r="JT425" s="220"/>
      <c r="JU425" s="220"/>
      <c r="JV425" s="220"/>
      <c r="JW425" s="220"/>
      <c r="JX425" s="220"/>
      <c r="JY425" s="220"/>
      <c r="JZ425" s="220"/>
      <c r="KA425" s="220"/>
      <c r="KB425" s="220"/>
      <c r="KC425" s="220"/>
      <c r="KD425" s="220"/>
      <c r="KE425" s="220"/>
      <c r="KF425" s="220"/>
      <c r="KG425" s="220"/>
      <c r="KH425" s="220"/>
      <c r="KI425" s="220"/>
      <c r="KJ425" s="220"/>
      <c r="KK425" s="220"/>
      <c r="KL425" s="220"/>
      <c r="KM425" s="220"/>
      <c r="KN425" s="220"/>
      <c r="KO425" s="220"/>
      <c r="KP425" s="220"/>
      <c r="KQ425" s="220"/>
      <c r="KR425" s="220"/>
      <c r="KS425" s="220"/>
      <c r="KT425" s="220"/>
      <c r="KU425" s="220"/>
      <c r="KV425" s="220"/>
      <c r="KW425" s="220"/>
      <c r="KX425" s="220"/>
      <c r="KY425" s="220"/>
      <c r="KZ425" s="220"/>
      <c r="LA425" s="220"/>
      <c r="LB425" s="220"/>
      <c r="LC425" s="220"/>
      <c r="LD425" s="220"/>
      <c r="LE425" s="220"/>
      <c r="LF425" s="220"/>
      <c r="LG425" s="220"/>
      <c r="LH425" s="220"/>
      <c r="LI425" s="220"/>
      <c r="LJ425" s="220"/>
      <c r="LK425" s="220"/>
      <c r="LL425" s="220"/>
      <c r="LM425" s="220"/>
      <c r="LN425" s="220"/>
      <c r="LO425" s="220"/>
      <c r="LP425" s="220"/>
      <c r="LQ425" s="220"/>
      <c r="LR425" s="220"/>
      <c r="LS425" s="220"/>
      <c r="LT425" s="220"/>
      <c r="LU425" s="220"/>
      <c r="LV425" s="220"/>
      <c r="LW425" s="220"/>
      <c r="LX425" s="220"/>
      <c r="LY425" s="220"/>
      <c r="LZ425" s="220"/>
      <c r="MA425" s="220"/>
      <c r="MB425" s="220"/>
      <c r="MC425" s="220"/>
      <c r="MD425" s="220"/>
      <c r="ME425" s="220"/>
      <c r="MF425" s="220"/>
      <c r="MG425" s="220"/>
      <c r="MH425" s="220"/>
      <c r="MI425" s="220"/>
      <c r="MJ425" s="220"/>
      <c r="MK425" s="220"/>
      <c r="ML425" s="220"/>
      <c r="MM425" s="220"/>
      <c r="MN425" s="220"/>
      <c r="MO425" s="220"/>
      <c r="MP425" s="220"/>
      <c r="MQ425" s="220"/>
      <c r="MR425" s="220"/>
      <c r="MS425" s="220"/>
      <c r="MT425" s="220"/>
      <c r="MU425" s="220"/>
      <c r="MV425" s="220"/>
      <c r="MW425" s="220"/>
      <c r="MX425" s="220"/>
      <c r="MY425" s="220"/>
      <c r="MZ425" s="220"/>
      <c r="NA425" s="220"/>
      <c r="NB425" s="220"/>
      <c r="NC425" s="220"/>
      <c r="ND425" s="220"/>
      <c r="NE425" s="220"/>
      <c r="NF425" s="220"/>
      <c r="NG425" s="220"/>
      <c r="NH425" s="220"/>
      <c r="NI425" s="220"/>
      <c r="NJ425" s="220"/>
      <c r="NK425" s="220"/>
      <c r="NL425" s="220"/>
      <c r="NM425" s="220"/>
      <c r="NN425" s="220"/>
      <c r="NO425" s="220"/>
      <c r="NP425" s="220"/>
      <c r="NQ425" s="220"/>
      <c r="NR425" s="220"/>
      <c r="NS425" s="220"/>
      <c r="NT425" s="220"/>
      <c r="NU425" s="220"/>
      <c r="NV425" s="220"/>
      <c r="NW425" s="220"/>
      <c r="NX425" s="220"/>
      <c r="NY425" s="220"/>
      <c r="NZ425" s="220"/>
      <c r="OA425" s="220"/>
      <c r="OB425" s="220"/>
      <c r="OC425" s="220"/>
      <c r="OD425" s="220"/>
      <c r="OE425" s="220"/>
      <c r="OF425" s="220"/>
      <c r="OG425" s="220"/>
      <c r="OH425" s="220"/>
      <c r="OI425" s="220"/>
      <c r="OJ425" s="220"/>
      <c r="OK425" s="220"/>
      <c r="OL425" s="220"/>
      <c r="OM425" s="220"/>
      <c r="ON425" s="220"/>
      <c r="OO425" s="220"/>
      <c r="OP425" s="220"/>
      <c r="OQ425" s="220"/>
      <c r="OR425" s="220"/>
      <c r="OS425" s="220"/>
      <c r="OT425" s="220"/>
      <c r="OU425" s="220"/>
      <c r="OV425" s="220"/>
      <c r="OW425" s="220"/>
      <c r="OX425" s="220"/>
      <c r="OY425" s="220"/>
      <c r="OZ425" s="220"/>
      <c r="PA425" s="220"/>
      <c r="PB425" s="220"/>
      <c r="PC425" s="220"/>
      <c r="PD425" s="220"/>
      <c r="PE425" s="220"/>
      <c r="PF425" s="220"/>
      <c r="PG425" s="220"/>
      <c r="PH425" s="220"/>
      <c r="PI425" s="220"/>
      <c r="PJ425" s="220"/>
      <c r="PK425" s="220"/>
      <c r="PL425" s="220"/>
      <c r="PM425" s="220"/>
      <c r="PN425" s="220"/>
      <c r="PO425" s="220"/>
      <c r="PP425" s="220"/>
      <c r="PQ425" s="220"/>
      <c r="PR425" s="220"/>
      <c r="PS425" s="220"/>
      <c r="PT425" s="220"/>
      <c r="PU425" s="220"/>
      <c r="PV425" s="220"/>
      <c r="PW425" s="220"/>
      <c r="PX425" s="220"/>
      <c r="PY425" s="220"/>
      <c r="PZ425" s="220"/>
      <c r="QA425" s="220"/>
      <c r="QB425" s="220"/>
      <c r="QC425" s="220"/>
      <c r="QD425" s="220"/>
      <c r="QE425" s="220"/>
      <c r="QF425" s="220"/>
      <c r="QG425" s="220"/>
      <c r="QH425" s="220"/>
      <c r="QI425" s="220"/>
      <c r="QJ425" s="220"/>
      <c r="QK425" s="220"/>
      <c r="QL425" s="220"/>
      <c r="QM425" s="220"/>
      <c r="QN425" s="220"/>
      <c r="QO425" s="220"/>
      <c r="QP425" s="220"/>
      <c r="QQ425" s="220"/>
      <c r="QR425" s="220"/>
      <c r="QS425" s="220"/>
      <c r="QT425" s="220"/>
      <c r="QU425" s="220"/>
      <c r="QV425" s="220"/>
      <c r="QW425" s="220"/>
      <c r="QX425" s="220"/>
      <c r="QY425" s="220"/>
      <c r="QZ425" s="220"/>
      <c r="RA425" s="220"/>
      <c r="RB425" s="220"/>
      <c r="RC425" s="220"/>
      <c r="RD425" s="220"/>
      <c r="RE425" s="220"/>
      <c r="RF425" s="220"/>
      <c r="RG425" s="220"/>
      <c r="RH425" s="220"/>
      <c r="RI425" s="220"/>
      <c r="RJ425" s="220"/>
      <c r="RK425" s="220"/>
      <c r="RL425" s="220"/>
      <c r="RM425" s="220"/>
      <c r="RN425" s="220"/>
      <c r="RO425" s="220"/>
      <c r="RP425" s="220"/>
      <c r="RQ425" s="220"/>
      <c r="RR425" s="220"/>
      <c r="RS425" s="220"/>
      <c r="RT425" s="220"/>
      <c r="RU425" s="220"/>
      <c r="RV425" s="220"/>
      <c r="RW425" s="220"/>
      <c r="RX425" s="220"/>
      <c r="RY425" s="220"/>
      <c r="RZ425" s="220"/>
      <c r="SA425" s="220"/>
      <c r="SB425" s="220"/>
      <c r="SC425" s="220"/>
      <c r="SD425" s="220"/>
      <c r="SE425" s="220"/>
      <c r="SF425" s="220"/>
      <c r="SG425" s="220"/>
      <c r="SH425" s="220"/>
      <c r="SI425" s="220"/>
      <c r="SJ425" s="220"/>
      <c r="SK425" s="220"/>
      <c r="SL425" s="220"/>
      <c r="SM425" s="220"/>
      <c r="SN425" s="220"/>
      <c r="SO425" s="220"/>
      <c r="SP425" s="220"/>
      <c r="SQ425" s="220"/>
      <c r="SR425" s="220"/>
      <c r="SS425" s="220"/>
      <c r="ST425" s="220"/>
      <c r="SU425" s="220"/>
      <c r="SV425" s="220"/>
      <c r="SW425" s="220"/>
      <c r="SX425" s="220"/>
      <c r="SY425" s="220"/>
      <c r="SZ425" s="220"/>
      <c r="TA425" s="220"/>
      <c r="TB425" s="220"/>
      <c r="TC425" s="220"/>
      <c r="TD425" s="220"/>
      <c r="TE425" s="220"/>
      <c r="TF425" s="220"/>
      <c r="TG425" s="220"/>
      <c r="TH425" s="220"/>
      <c r="TI425" s="220"/>
      <c r="TJ425" s="220"/>
      <c r="TK425" s="220"/>
      <c r="TL425" s="220"/>
      <c r="TM425" s="220"/>
      <c r="TN425" s="220"/>
      <c r="TO425" s="220"/>
      <c r="TP425" s="220"/>
      <c r="TQ425" s="220"/>
      <c r="TR425" s="220"/>
      <c r="TS425" s="220"/>
      <c r="TT425" s="220"/>
      <c r="TU425" s="220"/>
      <c r="TV425" s="220"/>
      <c r="TW425" s="220"/>
      <c r="TX425" s="220"/>
      <c r="TY425" s="220"/>
      <c r="TZ425" s="220"/>
      <c r="UA425" s="220"/>
      <c r="UB425" s="220"/>
      <c r="UC425" s="220"/>
      <c r="UD425" s="220"/>
      <c r="UE425" s="220"/>
      <c r="UF425" s="220"/>
      <c r="UG425" s="220"/>
      <c r="UH425" s="220"/>
      <c r="UI425" s="220"/>
      <c r="UJ425" s="220"/>
      <c r="UK425" s="220"/>
      <c r="UL425" s="220"/>
      <c r="UM425" s="220"/>
      <c r="UN425" s="220"/>
      <c r="UO425" s="220"/>
      <c r="UP425" s="220"/>
      <c r="UQ425" s="220"/>
      <c r="UR425" s="220"/>
      <c r="US425" s="220"/>
      <c r="UT425" s="220"/>
      <c r="UU425" s="220"/>
      <c r="UV425" s="220"/>
      <c r="UW425" s="220"/>
      <c r="UX425" s="220"/>
      <c r="UY425" s="220"/>
      <c r="UZ425" s="220"/>
      <c r="VA425" s="220"/>
      <c r="VB425" s="220"/>
      <c r="VC425" s="220"/>
      <c r="VD425" s="220"/>
      <c r="VE425" s="220"/>
      <c r="VF425" s="220"/>
      <c r="VG425" s="220"/>
      <c r="VH425" s="220"/>
      <c r="VI425" s="220"/>
      <c r="VJ425" s="220"/>
      <c r="VK425" s="220"/>
      <c r="VL425" s="220"/>
      <c r="VM425" s="220"/>
      <c r="VN425" s="220"/>
      <c r="VO425" s="220"/>
      <c r="VP425" s="220"/>
      <c r="VQ425" s="220"/>
      <c r="VR425" s="220"/>
      <c r="VS425" s="220"/>
      <c r="VT425" s="220"/>
      <c r="VU425" s="220"/>
      <c r="VV425" s="220"/>
      <c r="VW425" s="220"/>
      <c r="VX425" s="220"/>
      <c r="VY425" s="220"/>
      <c r="VZ425" s="220"/>
      <c r="WA425" s="220"/>
      <c r="WB425" s="220"/>
      <c r="WC425" s="220"/>
      <c r="WD425" s="220"/>
      <c r="WE425" s="220"/>
      <c r="WF425" s="220"/>
      <c r="WG425" s="220"/>
      <c r="WH425" s="220"/>
      <c r="WI425" s="220"/>
      <c r="WJ425" s="220"/>
      <c r="WK425" s="220"/>
      <c r="WL425" s="220"/>
      <c r="WM425" s="220"/>
      <c r="WN425" s="220"/>
      <c r="WO425" s="220"/>
      <c r="WP425" s="220"/>
      <c r="WQ425" s="220"/>
      <c r="WR425" s="220"/>
      <c r="WS425" s="220"/>
      <c r="WT425" s="220"/>
      <c r="WU425" s="220"/>
      <c r="WV425" s="220"/>
      <c r="WW425" s="220"/>
      <c r="WX425" s="220"/>
      <c r="WY425" s="220"/>
      <c r="WZ425" s="220"/>
      <c r="XA425" s="220"/>
      <c r="XB425" s="220"/>
      <c r="XC425" s="220"/>
      <c r="XD425" s="220"/>
      <c r="XE425" s="220"/>
      <c r="XF425" s="220"/>
      <c r="XG425" s="220"/>
      <c r="XH425" s="220"/>
      <c r="XI425" s="220"/>
      <c r="XJ425" s="220"/>
      <c r="XK425" s="220"/>
      <c r="XL425" s="220"/>
      <c r="XM425" s="220"/>
      <c r="XN425" s="220"/>
      <c r="XO425" s="220"/>
      <c r="XP425" s="220"/>
      <c r="XQ425" s="220"/>
      <c r="XR425" s="220"/>
      <c r="XS425" s="220"/>
      <c r="XT425" s="220"/>
      <c r="XU425" s="220"/>
      <c r="XV425" s="220"/>
      <c r="XW425" s="220"/>
      <c r="XX425" s="220"/>
      <c r="XY425" s="220"/>
      <c r="XZ425" s="220"/>
      <c r="YA425" s="220"/>
      <c r="YB425" s="220"/>
      <c r="YC425" s="220"/>
      <c r="YD425" s="220"/>
      <c r="YE425" s="220"/>
      <c r="YF425" s="220"/>
      <c r="YG425" s="220"/>
      <c r="YH425" s="220"/>
      <c r="YI425" s="220"/>
      <c r="YJ425" s="220"/>
      <c r="YK425" s="220"/>
      <c r="YL425" s="220"/>
      <c r="YM425" s="220"/>
      <c r="YN425" s="220"/>
      <c r="YO425" s="220"/>
      <c r="YP425" s="220"/>
      <c r="YQ425" s="220"/>
      <c r="YR425" s="220"/>
      <c r="YS425" s="220"/>
      <c r="YT425" s="220"/>
      <c r="YU425" s="220"/>
      <c r="YV425" s="220"/>
      <c r="YW425" s="220"/>
      <c r="YX425" s="220"/>
      <c r="YY425" s="220"/>
      <c r="YZ425" s="220"/>
      <c r="ZA425" s="220"/>
      <c r="ZB425" s="220"/>
      <c r="ZC425" s="220"/>
      <c r="ZD425" s="220"/>
      <c r="ZE425" s="220"/>
      <c r="ZF425" s="220"/>
      <c r="ZG425" s="220"/>
      <c r="ZH425" s="220"/>
      <c r="ZI425" s="220"/>
      <c r="ZJ425" s="220"/>
      <c r="ZK425" s="220"/>
      <c r="ZL425" s="220"/>
      <c r="ZM425" s="220"/>
      <c r="ZN425" s="220"/>
      <c r="ZO425" s="220"/>
      <c r="ZP425" s="220"/>
      <c r="ZQ425" s="220"/>
      <c r="ZR425" s="220"/>
      <c r="ZS425" s="220"/>
      <c r="ZT425" s="220"/>
      <c r="ZU425" s="220"/>
      <c r="ZV425" s="220"/>
      <c r="ZW425" s="220"/>
      <c r="ZX425" s="220"/>
      <c r="ZY425" s="220"/>
      <c r="ZZ425" s="220"/>
      <c r="AAA425" s="220"/>
      <c r="AAB425" s="220"/>
      <c r="AAC425" s="220"/>
      <c r="AAD425" s="220"/>
      <c r="AAE425" s="220"/>
      <c r="AAF425" s="220"/>
      <c r="AAG425" s="220"/>
      <c r="AAH425" s="220"/>
      <c r="AAI425" s="220"/>
      <c r="AAJ425" s="220"/>
      <c r="AAK425" s="220"/>
      <c r="AAL425" s="220"/>
      <c r="AAM425" s="220"/>
      <c r="AAN425" s="220"/>
      <c r="AAO425" s="220"/>
      <c r="AAP425" s="220"/>
      <c r="AAQ425" s="220"/>
      <c r="AAR425" s="220"/>
      <c r="AAS425" s="220"/>
      <c r="AAT425" s="220"/>
      <c r="AAU425" s="220"/>
      <c r="AAV425" s="220"/>
      <c r="AAW425" s="220"/>
      <c r="AAX425" s="220"/>
      <c r="AAY425" s="220"/>
      <c r="AAZ425" s="220"/>
      <c r="ABA425" s="220"/>
      <c r="ABB425" s="220"/>
      <c r="ABC425" s="220"/>
      <c r="ABD425" s="220"/>
      <c r="ABE425" s="220"/>
      <c r="ABF425" s="220"/>
      <c r="ABG425" s="220"/>
    </row>
    <row r="426" spans="1:735" s="3" customFormat="1" x14ac:dyDescent="0.2">
      <c r="A426" s="180">
        <v>2223</v>
      </c>
      <c r="B426" s="180" t="s">
        <v>328</v>
      </c>
      <c r="C426" s="120">
        <v>76000</v>
      </c>
      <c r="D426" s="120">
        <v>76000</v>
      </c>
      <c r="E426" s="120">
        <v>42000</v>
      </c>
      <c r="F426" s="126"/>
      <c r="G426" s="120">
        <f t="shared" ref="G426:G432" si="154">E426/C426*100</f>
        <v>55.26315789473685</v>
      </c>
      <c r="H426" s="120">
        <f>E426/D426*100</f>
        <v>55.26315789473685</v>
      </c>
      <c r="I426" s="120">
        <f t="shared" ref="I426:I427" si="155">E426/J426*100</f>
        <v>100</v>
      </c>
      <c r="J426" s="6">
        <v>42000</v>
      </c>
    </row>
    <row r="427" spans="1:735" s="3" customFormat="1" x14ac:dyDescent="0.2">
      <c r="A427" s="180"/>
      <c r="B427" s="240" t="s">
        <v>327</v>
      </c>
      <c r="C427" s="126">
        <v>76000</v>
      </c>
      <c r="D427" s="126">
        <v>76000</v>
      </c>
      <c r="E427" s="206">
        <v>42000</v>
      </c>
      <c r="F427" s="206"/>
      <c r="G427" s="126">
        <f t="shared" si="154"/>
        <v>55.26315789473685</v>
      </c>
      <c r="H427" s="126">
        <f t="shared" ref="H427" si="156">E427/D427*100</f>
        <v>55.26315789473685</v>
      </c>
      <c r="I427" s="126">
        <f t="shared" si="155"/>
        <v>100</v>
      </c>
      <c r="J427" s="14">
        <v>42000</v>
      </c>
    </row>
    <row r="428" spans="1:735" s="3" customFormat="1" x14ac:dyDescent="0.2">
      <c r="A428" s="180">
        <v>2292</v>
      </c>
      <c r="B428" s="180" t="s">
        <v>326</v>
      </c>
      <c r="C428" s="120">
        <f>C429+C430+C431+C432</f>
        <v>6962417</v>
      </c>
      <c r="D428" s="120">
        <f>D429+D430+D431+D432</f>
        <v>6812417</v>
      </c>
      <c r="E428" s="120">
        <v>3180352.5</v>
      </c>
      <c r="F428" s="126">
        <f>SUM(E429:E432)</f>
        <v>3180352.5</v>
      </c>
      <c r="G428" s="120">
        <f t="shared" si="154"/>
        <v>45.678856925691179</v>
      </c>
      <c r="H428" s="120">
        <f>E428/D428*100</f>
        <v>46.684642176190913</v>
      </c>
      <c r="I428" s="120">
        <f t="shared" ref="I428:I430" si="157">E428/J428*100</f>
        <v>103.41901798267143</v>
      </c>
      <c r="J428" s="14">
        <v>3075210.5</v>
      </c>
    </row>
    <row r="429" spans="1:735" s="3" customFormat="1" x14ac:dyDescent="0.2">
      <c r="A429" s="180"/>
      <c r="B429" s="237" t="s">
        <v>325</v>
      </c>
      <c r="C429" s="126">
        <v>1112417</v>
      </c>
      <c r="D429" s="126">
        <v>1112417</v>
      </c>
      <c r="E429" s="130">
        <v>556208.5</v>
      </c>
      <c r="F429" s="130"/>
      <c r="G429" s="126">
        <f t="shared" si="154"/>
        <v>50</v>
      </c>
      <c r="H429" s="126">
        <f>E429/D429*100</f>
        <v>50</v>
      </c>
      <c r="I429" s="126">
        <f t="shared" si="157"/>
        <v>100</v>
      </c>
      <c r="J429" s="14">
        <v>556208.5</v>
      </c>
    </row>
    <row r="430" spans="1:735" s="3" customFormat="1" x14ac:dyDescent="0.2">
      <c r="A430" s="180"/>
      <c r="B430" s="237" t="s">
        <v>324</v>
      </c>
      <c r="C430" s="126">
        <v>5100000</v>
      </c>
      <c r="D430" s="126">
        <v>5100000</v>
      </c>
      <c r="E430" s="130">
        <v>2579504</v>
      </c>
      <c r="F430" s="130"/>
      <c r="G430" s="126">
        <f t="shared" si="154"/>
        <v>50.57850980392157</v>
      </c>
      <c r="H430" s="126">
        <f>E430/D430*100</f>
        <v>50.57850980392157</v>
      </c>
      <c r="I430" s="126">
        <f t="shared" si="157"/>
        <v>102.40182421451034</v>
      </c>
      <c r="J430" s="6">
        <v>2519002</v>
      </c>
    </row>
    <row r="431" spans="1:735" s="236" customFormat="1" ht="25.5" x14ac:dyDescent="0.2">
      <c r="A431" s="180"/>
      <c r="B431" s="179" t="s">
        <v>323</v>
      </c>
      <c r="C431" s="126">
        <v>200000</v>
      </c>
      <c r="D431" s="126">
        <v>200000</v>
      </c>
      <c r="E431" s="126">
        <v>44640</v>
      </c>
      <c r="F431" s="126"/>
      <c r="G431" s="126">
        <f t="shared" si="154"/>
        <v>22.32</v>
      </c>
      <c r="H431" s="126">
        <f t="shared" ref="H431:H432" si="158">E431/D431*100</f>
        <v>22.32</v>
      </c>
      <c r="I431" s="126">
        <v>0</v>
      </c>
      <c r="J431" s="129">
        <v>0</v>
      </c>
    </row>
    <row r="432" spans="1:735" s="3" customFormat="1" x14ac:dyDescent="0.2">
      <c r="A432" s="235"/>
      <c r="B432" s="234" t="s">
        <v>322</v>
      </c>
      <c r="C432" s="130">
        <v>550000</v>
      </c>
      <c r="D432" s="130">
        <f>550000-150000</f>
        <v>400000</v>
      </c>
      <c r="E432" s="130">
        <v>0</v>
      </c>
      <c r="F432" s="130"/>
      <c r="G432" s="126">
        <f t="shared" si="154"/>
        <v>0</v>
      </c>
      <c r="H432" s="126">
        <f t="shared" si="158"/>
        <v>0</v>
      </c>
      <c r="I432" s="126">
        <v>0</v>
      </c>
      <c r="J432" s="129">
        <v>0</v>
      </c>
    </row>
    <row r="433" spans="1:52" s="3" customFormat="1" ht="13.5" thickBot="1" x14ac:dyDescent="0.25">
      <c r="A433" s="232"/>
      <c r="B433" s="231"/>
      <c r="C433" s="151"/>
      <c r="D433" s="151"/>
      <c r="E433" s="117"/>
      <c r="F433" s="117"/>
      <c r="G433" s="151"/>
      <c r="H433" s="151"/>
      <c r="I433" s="151"/>
      <c r="J433" s="129"/>
    </row>
    <row r="434" spans="1:52" s="3" customFormat="1" ht="21" thickBot="1" x14ac:dyDescent="0.35">
      <c r="A434" s="230"/>
      <c r="B434" s="139" t="s">
        <v>321</v>
      </c>
      <c r="C434" s="176">
        <f>SUM(C435:C436)</f>
        <v>112000</v>
      </c>
      <c r="D434" s="176">
        <f>SUM(D435:D436)</f>
        <v>112000</v>
      </c>
      <c r="E434" s="181">
        <v>10150</v>
      </c>
      <c r="F434" s="317">
        <f>SUM(E435:E436)</f>
        <v>10150</v>
      </c>
      <c r="G434" s="571">
        <f>E434/C434*100</f>
        <v>9.0625</v>
      </c>
      <c r="H434" s="181">
        <f>E434/D434*100</f>
        <v>9.0625</v>
      </c>
      <c r="I434" s="181">
        <f>E434/J434*100</f>
        <v>39.420537517477086</v>
      </c>
      <c r="J434" s="129">
        <v>25748</v>
      </c>
    </row>
    <row r="435" spans="1:52" s="3" customFormat="1" ht="12.75" customHeight="1" x14ac:dyDescent="0.2">
      <c r="A435" s="180">
        <v>2223</v>
      </c>
      <c r="B435" s="123" t="s">
        <v>320</v>
      </c>
      <c r="C435" s="120">
        <v>100000</v>
      </c>
      <c r="D435" s="120">
        <v>100000</v>
      </c>
      <c r="E435" s="120">
        <v>10150</v>
      </c>
      <c r="F435" s="126"/>
      <c r="G435" s="120">
        <f t="shared" ref="G435:G436" si="159">E435/C435*100</f>
        <v>10.15</v>
      </c>
      <c r="H435" s="120">
        <f>E435/D435*100</f>
        <v>10.15</v>
      </c>
      <c r="I435" s="120">
        <f>E435/J435*100</f>
        <v>40.925769122212813</v>
      </c>
      <c r="J435" s="162">
        <v>24801</v>
      </c>
    </row>
    <row r="436" spans="1:52" s="3" customFormat="1" x14ac:dyDescent="0.2">
      <c r="A436" s="180">
        <v>6171</v>
      </c>
      <c r="B436" s="229" t="s">
        <v>319</v>
      </c>
      <c r="C436" s="120">
        <v>12000</v>
      </c>
      <c r="D436" s="120">
        <v>12000</v>
      </c>
      <c r="E436" s="211">
        <v>0</v>
      </c>
      <c r="F436" s="152"/>
      <c r="G436" s="120">
        <f t="shared" si="159"/>
        <v>0</v>
      </c>
      <c r="H436" s="120">
        <f>E436/D436*100</f>
        <v>0</v>
      </c>
      <c r="I436" s="120">
        <f>E436/J436*100</f>
        <v>0</v>
      </c>
      <c r="J436" s="162">
        <v>947</v>
      </c>
    </row>
    <row r="437" spans="1:52" s="3" customFormat="1" ht="13.5" thickBot="1" x14ac:dyDescent="0.25">
      <c r="A437" s="228"/>
      <c r="B437" s="227"/>
      <c r="C437" s="117"/>
      <c r="D437" s="117"/>
      <c r="E437" s="520"/>
      <c r="F437" s="520"/>
      <c r="G437" s="151"/>
      <c r="H437" s="151"/>
      <c r="I437" s="151"/>
      <c r="J437" s="14"/>
    </row>
    <row r="438" spans="1:52" s="3" customFormat="1" ht="21" thickBot="1" x14ac:dyDescent="0.35">
      <c r="A438" s="226"/>
      <c r="B438" s="225" t="s">
        <v>318</v>
      </c>
      <c r="C438" s="35">
        <f>C439</f>
        <v>500000</v>
      </c>
      <c r="D438" s="35">
        <f>D439</f>
        <v>500000</v>
      </c>
      <c r="E438" s="181">
        <v>0</v>
      </c>
      <c r="F438" s="710"/>
      <c r="G438" s="571">
        <f>E438/C438*100</f>
        <v>0</v>
      </c>
      <c r="H438" s="181">
        <f>E438/D438*100</f>
        <v>0</v>
      </c>
      <c r="I438" s="181">
        <v>0</v>
      </c>
      <c r="J438" s="129">
        <v>0</v>
      </c>
      <c r="K438" s="220"/>
      <c r="L438" s="220"/>
      <c r="M438" s="220"/>
      <c r="N438" s="220"/>
      <c r="O438" s="220"/>
      <c r="P438" s="220"/>
      <c r="Q438" s="220"/>
      <c r="R438" s="220"/>
      <c r="S438" s="220"/>
      <c r="T438" s="220"/>
      <c r="U438" s="220"/>
      <c r="V438" s="220"/>
      <c r="W438" s="220"/>
      <c r="X438" s="220"/>
      <c r="Y438" s="220"/>
      <c r="Z438" s="220"/>
      <c r="AA438" s="220"/>
      <c r="AB438" s="220"/>
      <c r="AC438" s="220"/>
      <c r="AD438" s="220"/>
      <c r="AE438" s="220"/>
      <c r="AF438" s="220"/>
      <c r="AG438" s="220"/>
      <c r="AH438" s="220"/>
      <c r="AI438" s="220"/>
      <c r="AJ438" s="220"/>
      <c r="AK438" s="220"/>
      <c r="AL438" s="220"/>
      <c r="AM438" s="220"/>
      <c r="AN438" s="220"/>
      <c r="AO438" s="220"/>
      <c r="AP438" s="220"/>
      <c r="AQ438" s="220"/>
      <c r="AR438" s="220"/>
      <c r="AS438" s="220"/>
      <c r="AT438" s="220"/>
      <c r="AU438" s="220"/>
      <c r="AV438" s="220"/>
      <c r="AW438" s="220"/>
      <c r="AX438" s="220"/>
      <c r="AY438" s="220"/>
      <c r="AZ438" s="220"/>
    </row>
    <row r="439" spans="1:52" s="3" customFormat="1" x14ac:dyDescent="0.2">
      <c r="A439" s="123">
        <v>6114</v>
      </c>
      <c r="B439" s="19" t="s">
        <v>317</v>
      </c>
      <c r="C439" s="18">
        <v>500000</v>
      </c>
      <c r="D439" s="18">
        <v>500000</v>
      </c>
      <c r="E439" s="122">
        <v>0</v>
      </c>
      <c r="F439" s="127"/>
      <c r="G439" s="120">
        <f t="shared" ref="G439" si="160">E439/C439*100</f>
        <v>0</v>
      </c>
      <c r="H439" s="120">
        <f t="shared" ref="H439" si="161">E439/D439*100</f>
        <v>0</v>
      </c>
      <c r="I439" s="120">
        <v>0</v>
      </c>
      <c r="J439" s="162">
        <v>0</v>
      </c>
      <c r="K439" s="220"/>
      <c r="L439" s="220"/>
      <c r="M439" s="220"/>
      <c r="N439" s="220"/>
      <c r="O439" s="220"/>
      <c r="P439" s="220"/>
      <c r="Q439" s="220"/>
      <c r="R439" s="220"/>
      <c r="S439" s="220"/>
      <c r="T439" s="220"/>
      <c r="U439" s="220"/>
      <c r="V439" s="220"/>
      <c r="W439" s="220"/>
      <c r="X439" s="220"/>
      <c r="Y439" s="220"/>
      <c r="Z439" s="220"/>
      <c r="AA439" s="220"/>
      <c r="AB439" s="220"/>
      <c r="AC439" s="220"/>
      <c r="AD439" s="220"/>
      <c r="AE439" s="220"/>
      <c r="AF439" s="220"/>
      <c r="AG439" s="220"/>
      <c r="AH439" s="220"/>
      <c r="AI439" s="220"/>
      <c r="AJ439" s="220"/>
      <c r="AK439" s="220"/>
      <c r="AL439" s="220"/>
      <c r="AM439" s="220"/>
      <c r="AN439" s="220"/>
      <c r="AO439" s="220"/>
      <c r="AP439" s="220"/>
      <c r="AQ439" s="220"/>
      <c r="AR439" s="220"/>
      <c r="AS439" s="220"/>
      <c r="AT439" s="220"/>
      <c r="AU439" s="220"/>
      <c r="AV439" s="220"/>
      <c r="AW439" s="220"/>
      <c r="AX439" s="220"/>
      <c r="AY439" s="220"/>
      <c r="AZ439" s="220"/>
    </row>
    <row r="440" spans="1:52" s="3" customFormat="1" ht="13.5" thickBot="1" x14ac:dyDescent="0.25">
      <c r="A440" s="141"/>
      <c r="B440" s="222"/>
      <c r="C440" s="221"/>
      <c r="D440" s="221"/>
      <c r="E440" s="521"/>
      <c r="F440" s="152"/>
      <c r="G440" s="486"/>
      <c r="H440" s="486"/>
      <c r="I440" s="486"/>
      <c r="J440" s="162"/>
      <c r="K440" s="220"/>
      <c r="L440" s="220"/>
      <c r="M440" s="220"/>
      <c r="N440" s="220"/>
      <c r="O440" s="220"/>
      <c r="P440" s="220"/>
      <c r="Q440" s="220"/>
      <c r="R440" s="220"/>
      <c r="S440" s="220"/>
      <c r="T440" s="220"/>
      <c r="U440" s="220"/>
      <c r="V440" s="220"/>
      <c r="W440" s="220"/>
      <c r="X440" s="220"/>
      <c r="Y440" s="220"/>
      <c r="Z440" s="220"/>
      <c r="AA440" s="220"/>
      <c r="AB440" s="220"/>
      <c r="AC440" s="220"/>
      <c r="AD440" s="220"/>
      <c r="AE440" s="220"/>
      <c r="AF440" s="220"/>
      <c r="AG440" s="220"/>
      <c r="AH440" s="220"/>
      <c r="AI440" s="220"/>
      <c r="AJ440" s="220"/>
      <c r="AK440" s="220"/>
      <c r="AL440" s="220"/>
      <c r="AM440" s="220"/>
      <c r="AN440" s="220"/>
      <c r="AO440" s="220"/>
      <c r="AP440" s="220"/>
      <c r="AQ440" s="220"/>
      <c r="AR440" s="220"/>
      <c r="AS440" s="220"/>
      <c r="AT440" s="220"/>
      <c r="AU440" s="220"/>
      <c r="AV440" s="220"/>
      <c r="AW440" s="220"/>
      <c r="AX440" s="220"/>
      <c r="AY440" s="220"/>
      <c r="AZ440" s="220"/>
    </row>
    <row r="441" spans="1:52" s="3" customFormat="1" ht="21" thickBot="1" x14ac:dyDescent="0.35">
      <c r="A441" s="219"/>
      <c r="B441" s="218" t="s">
        <v>316</v>
      </c>
      <c r="C441" s="35">
        <f>C442+C494+C517</f>
        <v>165843398.80000001</v>
      </c>
      <c r="D441" s="35">
        <f>D442+D494+D517</f>
        <v>169653408.5</v>
      </c>
      <c r="E441" s="242">
        <v>58469693.700000003</v>
      </c>
      <c r="F441" s="705">
        <f>SUM(E442,E494,E517)</f>
        <v>58469693.700000003</v>
      </c>
      <c r="G441" s="571">
        <f>E441/C441*100</f>
        <v>35.25596684768378</v>
      </c>
      <c r="H441" s="181">
        <f>E441/D441*100</f>
        <v>34.464202173692257</v>
      </c>
      <c r="I441" s="181">
        <f>E441/J441*100</f>
        <v>116.28864407862156</v>
      </c>
      <c r="J441" s="162">
        <v>50279796.590000004</v>
      </c>
    </row>
    <row r="442" spans="1:52" s="3" customFormat="1" ht="16.5" customHeight="1" thickBot="1" x14ac:dyDescent="0.3">
      <c r="A442" s="140"/>
      <c r="B442" s="202" t="s">
        <v>315</v>
      </c>
      <c r="C442" s="157">
        <f>SUM(C443,C462,C493,C488)</f>
        <v>84320582.799999997</v>
      </c>
      <c r="D442" s="157">
        <f>SUM(D443,D462,D493,D488)</f>
        <v>84633644.5</v>
      </c>
      <c r="E442" s="312">
        <v>23810109.399999999</v>
      </c>
      <c r="F442" s="705">
        <f>SUM(E443,E462,E488,E493)</f>
        <v>23810109.399999999</v>
      </c>
      <c r="G442" s="479">
        <f>E442/C442*100</f>
        <v>28.237600606337367</v>
      </c>
      <c r="H442" s="479">
        <f>E442/D442*100</f>
        <v>28.133149104786568</v>
      </c>
      <c r="I442" s="479">
        <f>E442/J442*100</f>
        <v>167.76402813951668</v>
      </c>
      <c r="J442" s="162">
        <v>14192619.039999999</v>
      </c>
    </row>
    <row r="443" spans="1:52" s="3" customFormat="1" x14ac:dyDescent="0.2">
      <c r="A443" s="138">
        <v>3111</v>
      </c>
      <c r="B443" s="188" t="s">
        <v>314</v>
      </c>
      <c r="C443" s="217">
        <f>SUM(C444:C446)</f>
        <v>21243000</v>
      </c>
      <c r="D443" s="217">
        <f>SUM(D444:D446)</f>
        <v>20575924</v>
      </c>
      <c r="E443" s="120">
        <v>4760955.91</v>
      </c>
      <c r="F443" s="126">
        <f>SUM(E444:E446)</f>
        <v>4760955.91</v>
      </c>
      <c r="G443" s="120">
        <f t="shared" ref="G443:G503" si="162">E443/C443*100</f>
        <v>22.411881137315824</v>
      </c>
      <c r="H443" s="120">
        <f t="shared" ref="H443:H465" si="163">E443/D443*100</f>
        <v>23.138479273154392</v>
      </c>
      <c r="I443" s="120">
        <f t="shared" ref="I443:I455" si="164">E443/J443*100</f>
        <v>154.10741363544406</v>
      </c>
      <c r="J443" s="162">
        <v>3089375</v>
      </c>
    </row>
    <row r="444" spans="1:52" s="3" customFormat="1" ht="12.75" customHeight="1" x14ac:dyDescent="0.2">
      <c r="A444" s="132"/>
      <c r="B444" s="581" t="s">
        <v>313</v>
      </c>
      <c r="C444" s="582">
        <f>SUM(C449,C458,C454)</f>
        <v>5998000</v>
      </c>
      <c r="D444" s="582">
        <f>SUM(D449,D458,D454)</f>
        <v>6330924</v>
      </c>
      <c r="E444" s="130">
        <f>SUM(E449,E454,E458)</f>
        <v>3453209</v>
      </c>
      <c r="F444" s="130"/>
      <c r="G444" s="126">
        <f t="shared" si="162"/>
        <v>57.572674224741583</v>
      </c>
      <c r="H444" s="126">
        <f t="shared" si="163"/>
        <v>54.545102736978045</v>
      </c>
      <c r="I444" s="126">
        <f t="shared" si="164"/>
        <v>115.26064753004006</v>
      </c>
      <c r="J444" s="6">
        <v>2996000</v>
      </c>
    </row>
    <row r="445" spans="1:52" s="3" customFormat="1" ht="12.75" customHeight="1" x14ac:dyDescent="0.2">
      <c r="A445" s="132"/>
      <c r="B445" s="581" t="s">
        <v>312</v>
      </c>
      <c r="C445" s="582">
        <f>SUM(C450,C459,C455)</f>
        <v>3365000</v>
      </c>
      <c r="D445" s="582">
        <f>SUM(D450,D459,D455)</f>
        <v>3365000</v>
      </c>
      <c r="E445" s="151">
        <f>SUM(E450,E455,E459)</f>
        <v>445524.75</v>
      </c>
      <c r="F445" s="151"/>
      <c r="G445" s="126">
        <f t="shared" si="162"/>
        <v>13.239962852897474</v>
      </c>
      <c r="H445" s="151">
        <f t="shared" si="163"/>
        <v>13.239962852897474</v>
      </c>
      <c r="I445" s="151">
        <f t="shared" si="164"/>
        <v>477.13493975903611</v>
      </c>
      <c r="J445" s="14">
        <v>93375</v>
      </c>
    </row>
    <row r="446" spans="1:52" s="3" customFormat="1" ht="12.75" customHeight="1" x14ac:dyDescent="0.2">
      <c r="A446" s="132"/>
      <c r="B446" s="581" t="s">
        <v>311</v>
      </c>
      <c r="C446" s="582">
        <f>C460+C451</f>
        <v>11880000</v>
      </c>
      <c r="D446" s="582">
        <f>D460+D451</f>
        <v>10880000</v>
      </c>
      <c r="E446" s="104">
        <f>SUM(E451,E460)</f>
        <v>862222.16</v>
      </c>
      <c r="F446" s="104"/>
      <c r="G446" s="126">
        <f t="shared" si="162"/>
        <v>7.2577622895622902</v>
      </c>
      <c r="H446" s="130">
        <f t="shared" si="163"/>
        <v>7.9248360294117655</v>
      </c>
      <c r="I446" s="130">
        <v>0</v>
      </c>
      <c r="J446" s="201">
        <v>0</v>
      </c>
    </row>
    <row r="447" spans="1:52" s="3" customFormat="1" ht="12.75" customHeight="1" x14ac:dyDescent="0.2">
      <c r="A447" s="132"/>
      <c r="B447" s="216"/>
      <c r="C447" s="215"/>
      <c r="D447" s="215"/>
      <c r="E447" s="133"/>
      <c r="F447" s="133"/>
      <c r="G447" s="126"/>
      <c r="H447" s="126"/>
      <c r="I447" s="126"/>
      <c r="J447" s="14"/>
    </row>
    <row r="448" spans="1:52" s="17" customFormat="1" ht="12.75" customHeight="1" x14ac:dyDescent="0.25">
      <c r="A448" s="132"/>
      <c r="B448" s="183" t="s">
        <v>310</v>
      </c>
      <c r="C448" s="122">
        <f>C449+C450+C451</f>
        <v>11049000</v>
      </c>
      <c r="D448" s="122">
        <f>D449+D450+D451</f>
        <v>9989000</v>
      </c>
      <c r="E448" s="121">
        <v>1858790.16</v>
      </c>
      <c r="F448" s="130">
        <f>SUM(E449:E451)</f>
        <v>1858790.1600000001</v>
      </c>
      <c r="G448" s="120">
        <f t="shared" si="162"/>
        <v>16.823152864512625</v>
      </c>
      <c r="H448" s="120">
        <f t="shared" si="163"/>
        <v>18.608370807888676</v>
      </c>
      <c r="I448" s="120">
        <f t="shared" si="164"/>
        <v>193.22143035343032</v>
      </c>
      <c r="J448" s="14">
        <v>962000</v>
      </c>
    </row>
    <row r="449" spans="1:10" s="3" customFormat="1" ht="12.75" customHeight="1" x14ac:dyDescent="0.2">
      <c r="A449" s="132"/>
      <c r="B449" s="183" t="s">
        <v>302</v>
      </c>
      <c r="C449" s="126">
        <v>1676000</v>
      </c>
      <c r="D449" s="126">
        <f>1676000-60000</f>
        <v>1616000</v>
      </c>
      <c r="E449" s="130">
        <v>870000</v>
      </c>
      <c r="F449" s="130"/>
      <c r="G449" s="126">
        <f t="shared" si="162"/>
        <v>51.909307875894982</v>
      </c>
      <c r="H449" s="126">
        <f t="shared" si="163"/>
        <v>53.836633663366342</v>
      </c>
      <c r="I449" s="126">
        <f t="shared" si="164"/>
        <v>90.436590436590436</v>
      </c>
      <c r="J449" s="6">
        <v>962000</v>
      </c>
    </row>
    <row r="450" spans="1:10" ht="36.75" x14ac:dyDescent="0.2">
      <c r="A450" s="132" t="s">
        <v>309</v>
      </c>
      <c r="B450" s="183" t="s">
        <v>308</v>
      </c>
      <c r="C450" s="126">
        <f>(121+90+70+130+462-100)*1000</f>
        <v>773000</v>
      </c>
      <c r="D450" s="126">
        <f>(121+90+70+130+462-100)*1000</f>
        <v>773000</v>
      </c>
      <c r="E450" s="152">
        <v>126568</v>
      </c>
      <c r="F450" s="152"/>
      <c r="G450" s="126">
        <f t="shared" si="162"/>
        <v>16.373609314359637</v>
      </c>
      <c r="H450" s="126">
        <f t="shared" si="163"/>
        <v>16.373609314359637</v>
      </c>
      <c r="I450" s="126">
        <v>0</v>
      </c>
      <c r="J450" s="6">
        <v>0</v>
      </c>
    </row>
    <row r="451" spans="1:10" ht="25.5" customHeight="1" x14ac:dyDescent="0.2">
      <c r="A451" s="132"/>
      <c r="B451" s="183" t="s">
        <v>307</v>
      </c>
      <c r="C451" s="126">
        <f>(3600+4000+1000)*1000</f>
        <v>8600000</v>
      </c>
      <c r="D451" s="126">
        <f>((3600+4000+1000)*1000)-1000000</f>
        <v>7600000</v>
      </c>
      <c r="E451" s="130">
        <v>862222.16</v>
      </c>
      <c r="F451" s="130"/>
      <c r="G451" s="126">
        <f t="shared" si="162"/>
        <v>10.025839069767443</v>
      </c>
      <c r="H451" s="126">
        <f t="shared" si="163"/>
        <v>11.345028421052632</v>
      </c>
      <c r="I451" s="126">
        <v>0</v>
      </c>
      <c r="J451" s="6">
        <v>0</v>
      </c>
    </row>
    <row r="452" spans="1:10" x14ac:dyDescent="0.2">
      <c r="A452" s="214"/>
      <c r="B452" s="213"/>
      <c r="C452" s="130"/>
      <c r="D452" s="130"/>
      <c r="E452" s="130"/>
      <c r="F452" s="130"/>
      <c r="G452" s="126"/>
      <c r="H452" s="126"/>
      <c r="I452" s="126"/>
      <c r="J452" s="6"/>
    </row>
    <row r="453" spans="1:10" x14ac:dyDescent="0.2">
      <c r="A453" s="132"/>
      <c r="B453" s="212" t="s">
        <v>306</v>
      </c>
      <c r="C453" s="122">
        <f>SUM(C454:C455)</f>
        <v>3515000</v>
      </c>
      <c r="D453" s="122">
        <f>SUM(D454:D455)</f>
        <v>3410940</v>
      </c>
      <c r="E453" s="121">
        <v>1311242</v>
      </c>
      <c r="F453" s="130">
        <f>SUM(E454:E455)</f>
        <v>1311242</v>
      </c>
      <c r="G453" s="120">
        <f t="shared" si="162"/>
        <v>37.30418207681366</v>
      </c>
      <c r="H453" s="120">
        <f t="shared" si="163"/>
        <v>38.442247591573</v>
      </c>
      <c r="I453" s="120">
        <f t="shared" si="164"/>
        <v>101.85392756578308</v>
      </c>
      <c r="J453" s="14">
        <v>1287375</v>
      </c>
    </row>
    <row r="454" spans="1:10" ht="12.75" customHeight="1" x14ac:dyDescent="0.2">
      <c r="A454" s="132"/>
      <c r="B454" s="183" t="s">
        <v>305</v>
      </c>
      <c r="C454" s="126">
        <v>2535000</v>
      </c>
      <c r="D454" s="126">
        <f>2535000+35940-140000</f>
        <v>2430940</v>
      </c>
      <c r="E454" s="127">
        <v>1224000</v>
      </c>
      <c r="F454" s="127"/>
      <c r="G454" s="126">
        <f t="shared" si="162"/>
        <v>48.284023668639051</v>
      </c>
      <c r="H454" s="126">
        <f t="shared" si="163"/>
        <v>50.350893070170386</v>
      </c>
      <c r="I454" s="126">
        <f t="shared" si="164"/>
        <v>102.51256281407035</v>
      </c>
      <c r="J454" s="14">
        <v>1194000</v>
      </c>
    </row>
    <row r="455" spans="1:10" ht="27" customHeight="1" x14ac:dyDescent="0.2">
      <c r="A455" s="132"/>
      <c r="B455" s="183" t="s">
        <v>965</v>
      </c>
      <c r="C455" s="126">
        <v>980000</v>
      </c>
      <c r="D455" s="126">
        <v>980000</v>
      </c>
      <c r="E455" s="127">
        <v>87242</v>
      </c>
      <c r="F455" s="127"/>
      <c r="G455" s="126">
        <f t="shared" si="162"/>
        <v>8.9022448979591839</v>
      </c>
      <c r="H455" s="126">
        <f t="shared" si="163"/>
        <v>8.9022448979591839</v>
      </c>
      <c r="I455" s="126">
        <f t="shared" si="164"/>
        <v>93.431860776439095</v>
      </c>
      <c r="J455" s="6">
        <v>93375</v>
      </c>
    </row>
    <row r="456" spans="1:10" ht="12.75" customHeight="1" x14ac:dyDescent="0.2">
      <c r="A456" s="132"/>
      <c r="B456" s="183"/>
      <c r="C456" s="126"/>
      <c r="D456" s="126"/>
      <c r="E456" s="127"/>
      <c r="F456" s="127"/>
      <c r="G456" s="126"/>
      <c r="H456" s="126"/>
      <c r="I456" s="126"/>
      <c r="J456" s="14"/>
    </row>
    <row r="457" spans="1:10" ht="12.75" customHeight="1" x14ac:dyDescent="0.2">
      <c r="A457" s="132"/>
      <c r="B457" s="183" t="s">
        <v>303</v>
      </c>
      <c r="C457" s="551">
        <f>SUM(C458:C460)</f>
        <v>6679000</v>
      </c>
      <c r="D457" s="551">
        <f>SUM(D458:D460)</f>
        <v>7175984</v>
      </c>
      <c r="E457" s="122">
        <v>1590923.75</v>
      </c>
      <c r="F457" s="127">
        <f>SUM(E458:E460)</f>
        <v>1590923.75</v>
      </c>
      <c r="G457" s="120">
        <f t="shared" si="162"/>
        <v>23.819789639167542</v>
      </c>
      <c r="H457" s="120">
        <f t="shared" si="163"/>
        <v>22.170112837486815</v>
      </c>
      <c r="I457" s="120">
        <f>E457/J457*100</f>
        <v>189.39568452380954</v>
      </c>
      <c r="J457" s="6">
        <v>840000</v>
      </c>
    </row>
    <row r="458" spans="1:10" ht="12.75" customHeight="1" x14ac:dyDescent="0.2">
      <c r="A458" s="132"/>
      <c r="B458" s="183" t="s">
        <v>302</v>
      </c>
      <c r="C458" s="130">
        <v>1787000</v>
      </c>
      <c r="D458" s="130">
        <f>1787000+(70381.36+398827.64)+27775</f>
        <v>2283984</v>
      </c>
      <c r="E458" s="195">
        <v>1359209</v>
      </c>
      <c r="F458" s="195"/>
      <c r="G458" s="126">
        <f t="shared" si="162"/>
        <v>76.060940123111365</v>
      </c>
      <c r="H458" s="126">
        <f t="shared" si="163"/>
        <v>59.510443155468693</v>
      </c>
      <c r="I458" s="126">
        <f t="shared" ref="I458:I468" si="165">E458/J458*100</f>
        <v>161.81059523809523</v>
      </c>
      <c r="J458" s="14">
        <v>840000</v>
      </c>
    </row>
    <row r="459" spans="1:10" ht="37.5" customHeight="1" x14ac:dyDescent="0.2">
      <c r="A459" s="132"/>
      <c r="B459" s="183" t="s">
        <v>301</v>
      </c>
      <c r="C459" s="126">
        <f>+(368+237+417+210+260+120)*1000</f>
        <v>1612000</v>
      </c>
      <c r="D459" s="126">
        <f>+(368+237+417+210+260+120)*1000</f>
        <v>1612000</v>
      </c>
      <c r="E459" s="195">
        <v>231714.75</v>
      </c>
      <c r="F459" s="195"/>
      <c r="G459" s="126">
        <f t="shared" si="162"/>
        <v>14.374364143920596</v>
      </c>
      <c r="H459" s="126">
        <f t="shared" si="163"/>
        <v>14.374364143920596</v>
      </c>
      <c r="I459" s="126">
        <v>0</v>
      </c>
      <c r="J459" s="6">
        <v>0</v>
      </c>
    </row>
    <row r="460" spans="1:10" ht="23.25" customHeight="1" x14ac:dyDescent="0.2">
      <c r="A460" s="132"/>
      <c r="B460" s="183" t="s">
        <v>964</v>
      </c>
      <c r="C460" s="126">
        <v>3280000</v>
      </c>
      <c r="D460" s="126">
        <v>3280000</v>
      </c>
      <c r="E460" s="127">
        <v>0</v>
      </c>
      <c r="F460" s="127"/>
      <c r="G460" s="126">
        <f t="shared" si="162"/>
        <v>0</v>
      </c>
      <c r="H460" s="126">
        <f t="shared" si="163"/>
        <v>0</v>
      </c>
      <c r="I460" s="126">
        <v>0</v>
      </c>
      <c r="J460" s="6">
        <v>0</v>
      </c>
    </row>
    <row r="461" spans="1:10" ht="12.75" customHeight="1" x14ac:dyDescent="0.2">
      <c r="A461" s="132"/>
      <c r="B461" s="183"/>
      <c r="C461" s="126"/>
      <c r="D461" s="126"/>
      <c r="E461" s="495"/>
      <c r="F461" s="495"/>
      <c r="G461" s="126"/>
      <c r="H461" s="126"/>
      <c r="I461" s="126"/>
      <c r="J461" s="14"/>
    </row>
    <row r="462" spans="1:10" x14ac:dyDescent="0.2">
      <c r="A462" s="124">
        <v>3113</v>
      </c>
      <c r="B462" s="203" t="s">
        <v>299</v>
      </c>
      <c r="C462" s="122">
        <f>SUM(C463:C466)</f>
        <v>41100771.5</v>
      </c>
      <c r="D462" s="122">
        <f>SUM(D463:D466)</f>
        <v>41952609.200000003</v>
      </c>
      <c r="E462" s="121">
        <v>18005063.489999998</v>
      </c>
      <c r="F462" s="130">
        <f>SUM(E463:E466)</f>
        <v>18005063.490000002</v>
      </c>
      <c r="G462" s="120">
        <f t="shared" si="162"/>
        <v>43.807118048866791</v>
      </c>
      <c r="H462" s="120">
        <f t="shared" si="163"/>
        <v>42.91762499005663</v>
      </c>
      <c r="I462" s="120">
        <f t="shared" si="165"/>
        <v>181.43356452859169</v>
      </c>
      <c r="J462" s="6">
        <v>9923777.6300000008</v>
      </c>
    </row>
    <row r="463" spans="1:10" ht="12.75" customHeight="1" x14ac:dyDescent="0.2">
      <c r="A463" s="124"/>
      <c r="B463" s="128" t="s">
        <v>298</v>
      </c>
      <c r="C463" s="126">
        <v>400000</v>
      </c>
      <c r="D463" s="126">
        <v>400000</v>
      </c>
      <c r="E463" s="130">
        <v>8100</v>
      </c>
      <c r="F463" s="10"/>
      <c r="G463" s="126">
        <f t="shared" si="162"/>
        <v>2.0249999999999999</v>
      </c>
      <c r="H463" s="126">
        <f t="shared" si="163"/>
        <v>2.0249999999999999</v>
      </c>
      <c r="I463" s="126">
        <f t="shared" si="165"/>
        <v>7.2812261225223605</v>
      </c>
      <c r="J463" s="6">
        <v>111245</v>
      </c>
    </row>
    <row r="464" spans="1:10" ht="12.75" customHeight="1" x14ac:dyDescent="0.2">
      <c r="A464" s="132"/>
      <c r="B464" s="183" t="s">
        <v>297</v>
      </c>
      <c r="C464" s="204">
        <f>SUM(C474,C479,C469,C484)</f>
        <v>18701000</v>
      </c>
      <c r="D464" s="204">
        <f>SUM(D474,D479,D469,D484)</f>
        <v>20620502.899999999</v>
      </c>
      <c r="E464" s="130">
        <f>SUM(E469,E474,E479,E484)</f>
        <v>11629570.9</v>
      </c>
      <c r="F464" s="130"/>
      <c r="G464" s="126">
        <f t="shared" si="162"/>
        <v>62.186893214266611</v>
      </c>
      <c r="H464" s="126">
        <f t="shared" si="163"/>
        <v>56.398095412115289</v>
      </c>
      <c r="I464" s="126">
        <f t="shared" si="165"/>
        <v>120.01621155830753</v>
      </c>
      <c r="J464" s="14">
        <v>9690000</v>
      </c>
    </row>
    <row r="465" spans="1:10" ht="12.75" customHeight="1" x14ac:dyDescent="0.2">
      <c r="A465" s="132"/>
      <c r="B465" s="183" t="s">
        <v>296</v>
      </c>
      <c r="C465" s="204">
        <f>SUM(C475,C480,C470,C485)</f>
        <v>10054000</v>
      </c>
      <c r="D465" s="204">
        <f>SUM(D475,D480,D470,D485)</f>
        <v>8059000</v>
      </c>
      <c r="E465" s="130">
        <f>SUM(E470,E475,E480,E485)</f>
        <v>126602</v>
      </c>
      <c r="F465" s="130"/>
      <c r="G465" s="126">
        <f t="shared" si="162"/>
        <v>1.2592202108613486</v>
      </c>
      <c r="H465" s="126">
        <f t="shared" si="163"/>
        <v>1.5709393224965877</v>
      </c>
      <c r="I465" s="126">
        <f t="shared" si="165"/>
        <v>356.29785917901381</v>
      </c>
      <c r="J465" s="6">
        <v>35532.629999999997</v>
      </c>
    </row>
    <row r="466" spans="1:10" ht="12.75" customHeight="1" x14ac:dyDescent="0.2">
      <c r="A466" s="132"/>
      <c r="B466" s="183" t="s">
        <v>295</v>
      </c>
      <c r="C466" s="207">
        <f>C471+C476+C481+C486</f>
        <v>11945771.5</v>
      </c>
      <c r="D466" s="207">
        <f>D471+D476+D481+D486</f>
        <v>12873106.300000001</v>
      </c>
      <c r="E466" s="130">
        <f>SUM(E471,E476,E481,E486)</f>
        <v>6240790.5899999999</v>
      </c>
      <c r="F466" s="130"/>
      <c r="G466" s="126">
        <f t="shared" si="162"/>
        <v>52.242675075444055</v>
      </c>
      <c r="H466" s="126">
        <f>E466/D466*100</f>
        <v>48.479290425808102</v>
      </c>
      <c r="I466" s="126">
        <f t="shared" si="165"/>
        <v>7173.3225172413795</v>
      </c>
      <c r="J466" s="14">
        <v>87000</v>
      </c>
    </row>
    <row r="467" spans="1:10" s="3" customFormat="1" ht="12.75" customHeight="1" x14ac:dyDescent="0.2">
      <c r="A467" s="132"/>
      <c r="B467" s="183"/>
      <c r="C467" s="182"/>
      <c r="D467" s="182"/>
      <c r="E467" s="130"/>
      <c r="F467" s="130"/>
      <c r="G467" s="126"/>
      <c r="H467" s="126"/>
      <c r="I467" s="126"/>
      <c r="J467" s="6"/>
    </row>
    <row r="468" spans="1:10" x14ac:dyDescent="0.2">
      <c r="A468" s="132"/>
      <c r="B468" s="183" t="s">
        <v>294</v>
      </c>
      <c r="C468" s="205">
        <f>SUM(C469:C471)</f>
        <v>11137000</v>
      </c>
      <c r="D468" s="205">
        <f>SUM(D469:D471)</f>
        <v>10849932</v>
      </c>
      <c r="E468" s="122">
        <v>4357262.04</v>
      </c>
      <c r="F468" s="127">
        <f>SUM(E469:E471)</f>
        <v>4357262.04</v>
      </c>
      <c r="G468" s="120">
        <f t="shared" si="162"/>
        <v>39.124198976385024</v>
      </c>
      <c r="H468" s="120">
        <f t="shared" ref="H468" si="166">E468/D468*100</f>
        <v>40.159348832785312</v>
      </c>
      <c r="I468" s="120">
        <f t="shared" si="165"/>
        <v>125.85967764298094</v>
      </c>
      <c r="J468" s="14">
        <v>3462000</v>
      </c>
    </row>
    <row r="469" spans="1:10" ht="12.75" customHeight="1" x14ac:dyDescent="0.2">
      <c r="A469" s="132"/>
      <c r="B469" s="183" t="s">
        <v>293</v>
      </c>
      <c r="C469" s="126">
        <v>6333000</v>
      </c>
      <c r="D469" s="126">
        <f>6333000+7932-300000</f>
        <v>6040932</v>
      </c>
      <c r="E469" s="130">
        <v>3168000</v>
      </c>
      <c r="F469" s="130"/>
      <c r="G469" s="126">
        <f t="shared" si="162"/>
        <v>50.023685457129318</v>
      </c>
      <c r="H469" s="126">
        <f>E469/D469*100</f>
        <v>52.442239045233421</v>
      </c>
      <c r="I469" s="126">
        <f>E469/J469*100</f>
        <v>91.507798960138658</v>
      </c>
      <c r="J469" s="14">
        <v>3462000</v>
      </c>
    </row>
    <row r="470" spans="1:10" ht="24.75" x14ac:dyDescent="0.2">
      <c r="A470" s="132"/>
      <c r="B470" s="183" t="s">
        <v>292</v>
      </c>
      <c r="C470" s="126">
        <v>1178000</v>
      </c>
      <c r="D470" s="126">
        <f>1178000+5000</f>
        <v>1183000</v>
      </c>
      <c r="E470" s="117">
        <v>126602</v>
      </c>
      <c r="F470" s="117"/>
      <c r="G470" s="126">
        <f t="shared" si="162"/>
        <v>10.747198641765705</v>
      </c>
      <c r="H470" s="151">
        <f>E470/D470*100</f>
        <v>10.701775147928993</v>
      </c>
      <c r="I470" s="151">
        <v>0</v>
      </c>
      <c r="J470" s="6">
        <v>0</v>
      </c>
    </row>
    <row r="471" spans="1:10" ht="44.25" customHeight="1" x14ac:dyDescent="0.2">
      <c r="A471" s="132"/>
      <c r="B471" s="183" t="s">
        <v>291</v>
      </c>
      <c r="C471" s="126">
        <f>(150+3000+300+70+192+85+129-300)*1000</f>
        <v>3626000</v>
      </c>
      <c r="D471" s="126">
        <f>(150+3000+300+70+192+85+129-300)*1000</f>
        <v>3626000</v>
      </c>
      <c r="E471" s="130">
        <v>1062660.04</v>
      </c>
      <c r="F471" s="130"/>
      <c r="G471" s="126">
        <f t="shared" si="162"/>
        <v>29.306675124103698</v>
      </c>
      <c r="H471" s="130">
        <f>E471/D471*100</f>
        <v>29.306675124103698</v>
      </c>
      <c r="I471" s="130">
        <v>0</v>
      </c>
      <c r="J471" s="6">
        <v>0</v>
      </c>
    </row>
    <row r="472" spans="1:10" ht="12.75" customHeight="1" x14ac:dyDescent="0.2">
      <c r="A472" s="132"/>
      <c r="B472" s="183"/>
      <c r="C472" s="130"/>
      <c r="D472" s="130"/>
      <c r="E472" s="133"/>
      <c r="F472" s="133"/>
      <c r="G472" s="126"/>
      <c r="H472" s="120"/>
      <c r="I472" s="120"/>
      <c r="J472" s="14"/>
    </row>
    <row r="473" spans="1:10" x14ac:dyDescent="0.2">
      <c r="A473" s="132"/>
      <c r="B473" s="183" t="s">
        <v>290</v>
      </c>
      <c r="C473" s="205">
        <f>SUM(C474:C476)</f>
        <v>10355771.5</v>
      </c>
      <c r="D473" s="205">
        <f>SUM(D474:D476)</f>
        <v>10325771.5</v>
      </c>
      <c r="E473" s="122">
        <v>6138795.75</v>
      </c>
      <c r="F473" s="127">
        <f>SUM(E474:E476)</f>
        <v>6138795.75</v>
      </c>
      <c r="G473" s="120">
        <f t="shared" si="162"/>
        <v>59.278980325125943</v>
      </c>
      <c r="H473" s="120">
        <f t="shared" ref="H473:H481" si="167">E473/D473*100</f>
        <v>59.451206624124886</v>
      </c>
      <c r="I473" s="120">
        <f t="shared" ref="I473:I481" si="168">E473/J473*100</f>
        <v>289.83927053824362</v>
      </c>
      <c r="J473" s="14">
        <v>2118000</v>
      </c>
    </row>
    <row r="474" spans="1:10" ht="12.75" customHeight="1" x14ac:dyDescent="0.2">
      <c r="A474" s="132"/>
      <c r="B474" s="183" t="s">
        <v>289</v>
      </c>
      <c r="C474" s="126">
        <v>3940000</v>
      </c>
      <c r="D474" s="126">
        <f>3940000-30000</f>
        <v>3910000</v>
      </c>
      <c r="E474" s="130">
        <v>1888000</v>
      </c>
      <c r="F474" s="130"/>
      <c r="G474" s="126">
        <f t="shared" si="162"/>
        <v>47.918781725888323</v>
      </c>
      <c r="H474" s="126">
        <f t="shared" si="167"/>
        <v>48.286445012787723</v>
      </c>
      <c r="I474" s="126">
        <f t="shared" si="168"/>
        <v>89.140698772426816</v>
      </c>
      <c r="J474" s="14">
        <v>2118000</v>
      </c>
    </row>
    <row r="475" spans="1:10" ht="24.75" customHeight="1" x14ac:dyDescent="0.2">
      <c r="A475" s="132"/>
      <c r="B475" s="183" t="s">
        <v>288</v>
      </c>
      <c r="C475" s="126">
        <v>576000</v>
      </c>
      <c r="D475" s="126">
        <v>576000</v>
      </c>
      <c r="E475" s="130">
        <v>0</v>
      </c>
      <c r="F475" s="130"/>
      <c r="G475" s="126">
        <f t="shared" si="162"/>
        <v>0</v>
      </c>
      <c r="H475" s="126">
        <f t="shared" si="167"/>
        <v>0</v>
      </c>
      <c r="I475" s="126">
        <v>0</v>
      </c>
      <c r="J475" s="6">
        <v>0</v>
      </c>
    </row>
    <row r="476" spans="1:10" ht="24.75" x14ac:dyDescent="0.2">
      <c r="A476" s="132"/>
      <c r="B476" s="183" t="s">
        <v>287</v>
      </c>
      <c r="C476" s="126">
        <v>5839771.5</v>
      </c>
      <c r="D476" s="126">
        <v>5839771.5</v>
      </c>
      <c r="E476" s="130">
        <v>4250795.75</v>
      </c>
      <c r="F476" s="130"/>
      <c r="G476" s="126">
        <f t="shared" si="162"/>
        <v>72.79044650976499</v>
      </c>
      <c r="H476" s="126">
        <f t="shared" si="167"/>
        <v>72.79044650976499</v>
      </c>
      <c r="I476" s="126">
        <v>0</v>
      </c>
      <c r="J476" s="6">
        <v>0</v>
      </c>
    </row>
    <row r="477" spans="1:10" ht="12.75" customHeight="1" x14ac:dyDescent="0.2">
      <c r="A477" s="132"/>
      <c r="B477" s="183"/>
      <c r="C477" s="130"/>
      <c r="D477" s="130"/>
      <c r="E477" s="130"/>
      <c r="F477" s="130"/>
      <c r="G477" s="126"/>
      <c r="H477" s="126"/>
      <c r="I477" s="126"/>
      <c r="J477" s="14"/>
    </row>
    <row r="478" spans="1:10" ht="12.75" customHeight="1" x14ac:dyDescent="0.2">
      <c r="A478" s="132"/>
      <c r="B478" s="183" t="s">
        <v>286</v>
      </c>
      <c r="C478" s="122">
        <f>SUM(C479:C481)</f>
        <v>12515000</v>
      </c>
      <c r="D478" s="122">
        <f>SUM(D479:D481)</f>
        <v>12594439.699999999</v>
      </c>
      <c r="E478" s="122">
        <v>3845439.7</v>
      </c>
      <c r="F478" s="127">
        <f>SUM(E479:E481)</f>
        <v>3845439.7</v>
      </c>
      <c r="G478" s="120">
        <f t="shared" si="162"/>
        <v>30.726645625249706</v>
      </c>
      <c r="H478" s="120">
        <f t="shared" si="167"/>
        <v>30.53283664536502</v>
      </c>
      <c r="I478" s="120">
        <f t="shared" si="168"/>
        <v>209.15808820863845</v>
      </c>
      <c r="J478" s="14">
        <v>1838532.63</v>
      </c>
    </row>
    <row r="479" spans="1:10" ht="12.75" customHeight="1" x14ac:dyDescent="0.2">
      <c r="A479" s="132"/>
      <c r="B479" s="183" t="s">
        <v>285</v>
      </c>
      <c r="C479" s="126">
        <v>3375000</v>
      </c>
      <c r="D479" s="126">
        <f>3375000+(68450.27+1163654.63)-80000</f>
        <v>4527104.9000000004</v>
      </c>
      <c r="E479" s="117">
        <v>2918104.9</v>
      </c>
      <c r="F479" s="117"/>
      <c r="G479" s="126">
        <f t="shared" si="162"/>
        <v>86.462367407407399</v>
      </c>
      <c r="H479" s="126">
        <f t="shared" si="167"/>
        <v>64.45852182484218</v>
      </c>
      <c r="I479" s="126">
        <f t="shared" si="168"/>
        <v>170.0527331002331</v>
      </c>
      <c r="J479" s="14">
        <v>1716000</v>
      </c>
    </row>
    <row r="480" spans="1:10" ht="29.25" customHeight="1" x14ac:dyDescent="0.2">
      <c r="A480" s="132"/>
      <c r="B480" s="183" t="s">
        <v>284</v>
      </c>
      <c r="C480" s="126">
        <f>(4600+2600+500+400)*1000</f>
        <v>8100000</v>
      </c>
      <c r="D480" s="126">
        <f>((4600+2600+500+400)*1000)-2000000</f>
        <v>6100000</v>
      </c>
      <c r="E480" s="711">
        <v>0</v>
      </c>
      <c r="F480" s="487"/>
      <c r="G480" s="126">
        <f t="shared" si="162"/>
        <v>0</v>
      </c>
      <c r="H480" s="126">
        <f t="shared" si="167"/>
        <v>0</v>
      </c>
      <c r="I480" s="126">
        <f t="shared" si="168"/>
        <v>0</v>
      </c>
      <c r="J480" s="6">
        <v>35532.629999999997</v>
      </c>
    </row>
    <row r="481" spans="1:10" ht="24.75" x14ac:dyDescent="0.2">
      <c r="A481" s="132"/>
      <c r="B481" s="183" t="s">
        <v>283</v>
      </c>
      <c r="C481" s="126">
        <f>+(600+600-160)*1000</f>
        <v>1040000</v>
      </c>
      <c r="D481" s="126">
        <f>((600+600-160)*1000)+(51518.6+875816.2)</f>
        <v>1967334.7999999998</v>
      </c>
      <c r="E481" s="133">
        <v>927334.8</v>
      </c>
      <c r="F481" s="133"/>
      <c r="G481" s="126">
        <f t="shared" si="162"/>
        <v>89.166807692307685</v>
      </c>
      <c r="H481" s="126">
        <f t="shared" si="167"/>
        <v>47.136603286842693</v>
      </c>
      <c r="I481" s="126">
        <f t="shared" si="168"/>
        <v>1065.9020689655174</v>
      </c>
      <c r="J481" s="6">
        <v>87000</v>
      </c>
    </row>
    <row r="482" spans="1:10" ht="12.75" customHeight="1" x14ac:dyDescent="0.2">
      <c r="A482" s="132"/>
      <c r="B482" s="183"/>
      <c r="C482" s="120"/>
      <c r="D482" s="120"/>
      <c r="E482" s="130"/>
      <c r="F482" s="130"/>
      <c r="G482" s="126"/>
      <c r="H482" s="126"/>
      <c r="I482" s="126"/>
      <c r="J482" s="6"/>
    </row>
    <row r="483" spans="1:10" x14ac:dyDescent="0.2">
      <c r="A483" s="132"/>
      <c r="B483" s="183" t="s">
        <v>282</v>
      </c>
      <c r="C483" s="122">
        <f>SUM(C484:C486)</f>
        <v>6693000</v>
      </c>
      <c r="D483" s="122">
        <f>SUM(D484:D486)</f>
        <v>7782466</v>
      </c>
      <c r="E483" s="134">
        <v>3655466</v>
      </c>
      <c r="F483" s="117">
        <f>SUM(E484:E486)</f>
        <v>3655466</v>
      </c>
      <c r="G483" s="120">
        <f t="shared" si="162"/>
        <v>54.616255789630962</v>
      </c>
      <c r="H483" s="120">
        <f t="shared" ref="H483" si="169">E483/D483*100</f>
        <v>46.970536074298302</v>
      </c>
      <c r="I483" s="120">
        <f t="shared" ref="I483" si="170">E483/J483*100</f>
        <v>152.69281537176275</v>
      </c>
      <c r="J483" s="6">
        <v>2394000</v>
      </c>
    </row>
    <row r="484" spans="1:10" ht="12.75" customHeight="1" x14ac:dyDescent="0.2">
      <c r="A484" s="132"/>
      <c r="B484" s="183" t="s">
        <v>281</v>
      </c>
      <c r="C484" s="126">
        <v>5053000</v>
      </c>
      <c r="D484" s="126">
        <f>5053000-40000+(169419.91+960046.09)</f>
        <v>6142466</v>
      </c>
      <c r="E484" s="130">
        <v>3655466</v>
      </c>
      <c r="F484" s="130"/>
      <c r="G484" s="126">
        <f t="shared" si="162"/>
        <v>72.342489610132603</v>
      </c>
      <c r="H484" s="130">
        <f>E484/D484*100</f>
        <v>59.511375398740505</v>
      </c>
      <c r="I484" s="130">
        <f>E484/J484*100</f>
        <v>152.69281537176275</v>
      </c>
      <c r="J484" s="14">
        <v>2394000</v>
      </c>
    </row>
    <row r="485" spans="1:10" x14ac:dyDescent="0.2">
      <c r="A485" s="132"/>
      <c r="B485" s="183" t="s">
        <v>280</v>
      </c>
      <c r="C485" s="126">
        <v>200000</v>
      </c>
      <c r="D485" s="126">
        <v>200000</v>
      </c>
      <c r="E485" s="126">
        <v>0</v>
      </c>
      <c r="F485" s="126"/>
      <c r="G485" s="126">
        <f t="shared" si="162"/>
        <v>0</v>
      </c>
      <c r="H485" s="126">
        <f>E485/D485*100</f>
        <v>0</v>
      </c>
      <c r="I485" s="126">
        <v>0</v>
      </c>
      <c r="J485" s="14">
        <v>0</v>
      </c>
    </row>
    <row r="486" spans="1:10" ht="12.75" customHeight="1" x14ac:dyDescent="0.2">
      <c r="A486" s="132"/>
      <c r="B486" s="183" t="s">
        <v>279</v>
      </c>
      <c r="C486" s="126">
        <f>(320+1250-130)*1000</f>
        <v>1440000</v>
      </c>
      <c r="D486" s="126">
        <f>(320+1250-130)*1000</f>
        <v>1440000</v>
      </c>
      <c r="E486" s="130">
        <v>0</v>
      </c>
      <c r="F486" s="130"/>
      <c r="G486" s="126">
        <f t="shared" si="162"/>
        <v>0</v>
      </c>
      <c r="H486" s="126">
        <f>E486/D486*100</f>
        <v>0</v>
      </c>
      <c r="I486" s="126">
        <v>0</v>
      </c>
      <c r="J486" s="6">
        <v>0</v>
      </c>
    </row>
    <row r="487" spans="1:10" ht="12.75" customHeight="1" x14ac:dyDescent="0.2">
      <c r="A487" s="132"/>
      <c r="B487" s="183"/>
      <c r="C487" s="126"/>
      <c r="D487" s="126"/>
      <c r="E487" s="117"/>
      <c r="F487" s="117"/>
      <c r="G487" s="126"/>
      <c r="H487" s="151"/>
      <c r="I487" s="151"/>
      <c r="J487" s="6"/>
    </row>
    <row r="488" spans="1:10" x14ac:dyDescent="0.2">
      <c r="A488" s="124">
        <v>3233</v>
      </c>
      <c r="B488" s="203" t="s">
        <v>278</v>
      </c>
      <c r="C488" s="122">
        <f>C489</f>
        <v>21896811.300000001</v>
      </c>
      <c r="D488" s="122">
        <f>D489</f>
        <v>22025111.300000001</v>
      </c>
      <c r="E488" s="122">
        <v>1044090</v>
      </c>
      <c r="F488" s="127"/>
      <c r="G488" s="120">
        <f t="shared" si="162"/>
        <v>4.7682285137105787</v>
      </c>
      <c r="H488" s="121">
        <f>E488/D488*100</f>
        <v>4.7404527758277437</v>
      </c>
      <c r="I488" s="121">
        <f>E488/J488*100</f>
        <v>90.343900235704567</v>
      </c>
      <c r="J488" s="14">
        <v>1155684</v>
      </c>
    </row>
    <row r="489" spans="1:10" ht="12.75" customHeight="1" x14ac:dyDescent="0.2">
      <c r="A489" s="124"/>
      <c r="B489" s="183" t="s">
        <v>277</v>
      </c>
      <c r="C489" s="204">
        <f>SUM(C490:C492)</f>
        <v>21896811.300000001</v>
      </c>
      <c r="D489" s="204">
        <f>SUM(D490:D492)</f>
        <v>22025111.300000001</v>
      </c>
      <c r="E489" s="126">
        <v>1044090</v>
      </c>
      <c r="F489" s="126">
        <f>SUM(E490:E492)</f>
        <v>1044090</v>
      </c>
      <c r="G489" s="126">
        <f t="shared" si="162"/>
        <v>4.7682285137105787</v>
      </c>
      <c r="H489" s="126">
        <f t="shared" ref="H489:H501" si="171">E489/D489*100</f>
        <v>4.7404527758277437</v>
      </c>
      <c r="I489" s="126">
        <f t="shared" ref="I489:I501" si="172">E489/J489*100</f>
        <v>90.343900235704567</v>
      </c>
      <c r="J489" s="6">
        <v>1155684</v>
      </c>
    </row>
    <row r="490" spans="1:10" ht="12.75" customHeight="1" x14ac:dyDescent="0.2">
      <c r="A490" s="124"/>
      <c r="B490" s="183" t="s">
        <v>276</v>
      </c>
      <c r="C490" s="126">
        <v>1512000</v>
      </c>
      <c r="D490" s="126">
        <f>1512000-40000+62300+106000</f>
        <v>1640300</v>
      </c>
      <c r="E490" s="127">
        <v>924300</v>
      </c>
      <c r="F490" s="127"/>
      <c r="G490" s="126">
        <f t="shared" si="162"/>
        <v>61.130952380952387</v>
      </c>
      <c r="H490" s="126">
        <f t="shared" si="171"/>
        <v>56.349448271657621</v>
      </c>
      <c r="I490" s="126">
        <f t="shared" si="172"/>
        <v>97.5</v>
      </c>
      <c r="J490" s="6">
        <v>948000</v>
      </c>
    </row>
    <row r="491" spans="1:10" ht="12.75" customHeight="1" x14ac:dyDescent="0.2">
      <c r="A491" s="124"/>
      <c r="B491" s="183" t="s">
        <v>275</v>
      </c>
      <c r="C491" s="126">
        <v>150000</v>
      </c>
      <c r="D491" s="126">
        <v>150000</v>
      </c>
      <c r="E491" s="130">
        <v>0</v>
      </c>
      <c r="F491" s="130"/>
      <c r="G491" s="126">
        <f t="shared" si="162"/>
        <v>0</v>
      </c>
      <c r="H491" s="126">
        <f t="shared" si="171"/>
        <v>0</v>
      </c>
      <c r="I491" s="126">
        <v>0</v>
      </c>
      <c r="J491" s="6">
        <v>0</v>
      </c>
    </row>
    <row r="492" spans="1:10" ht="24.75" x14ac:dyDescent="0.2">
      <c r="A492" s="124"/>
      <c r="B492" s="183" t="s">
        <v>274</v>
      </c>
      <c r="C492" s="126">
        <v>20234811.300000001</v>
      </c>
      <c r="D492" s="126">
        <v>20234811.300000001</v>
      </c>
      <c r="E492" s="130">
        <v>119790</v>
      </c>
      <c r="F492" s="130"/>
      <c r="G492" s="126">
        <f t="shared" si="162"/>
        <v>0.59199959032976013</v>
      </c>
      <c r="H492" s="126">
        <f t="shared" si="171"/>
        <v>0.59199959032976013</v>
      </c>
      <c r="I492" s="126">
        <f t="shared" si="172"/>
        <v>57.678973825619693</v>
      </c>
      <c r="J492" s="6">
        <v>207684</v>
      </c>
    </row>
    <row r="493" spans="1:10" s="3" customFormat="1" ht="12.75" customHeight="1" thickBot="1" x14ac:dyDescent="0.25">
      <c r="A493" s="124">
        <v>3419</v>
      </c>
      <c r="B493" s="203" t="s">
        <v>273</v>
      </c>
      <c r="C493" s="120">
        <v>80000</v>
      </c>
      <c r="D493" s="120">
        <v>80000</v>
      </c>
      <c r="E493" s="521">
        <v>0</v>
      </c>
      <c r="F493" s="152"/>
      <c r="G493" s="120">
        <f t="shared" si="162"/>
        <v>0</v>
      </c>
      <c r="H493" s="486">
        <f t="shared" si="171"/>
        <v>0</v>
      </c>
      <c r="I493" s="486">
        <f t="shared" si="172"/>
        <v>0</v>
      </c>
      <c r="J493" s="6">
        <v>23782.41</v>
      </c>
    </row>
    <row r="494" spans="1:10" s="3" customFormat="1" ht="16.5" thickBot="1" x14ac:dyDescent="0.3">
      <c r="A494" s="140"/>
      <c r="B494" s="202" t="s">
        <v>272</v>
      </c>
      <c r="C494" s="157">
        <f>SUM(C495,C498,C501,C505,C508,C515)</f>
        <v>63946000</v>
      </c>
      <c r="D494" s="157">
        <f>SUM(D495,D498,D501,D505,D508,D515)</f>
        <v>66382479</v>
      </c>
      <c r="E494" s="479">
        <v>19133189.300000001</v>
      </c>
      <c r="F494" s="317">
        <f>SUM(E495,E498,E501,E505,E508,E515)</f>
        <v>19133189.300000001</v>
      </c>
      <c r="G494" s="479">
        <f>E494/C494*100</f>
        <v>29.920854001814028</v>
      </c>
      <c r="H494" s="479">
        <f t="shared" si="171"/>
        <v>28.82264957293927</v>
      </c>
      <c r="I494" s="479">
        <f t="shared" si="172"/>
        <v>111.54923224579525</v>
      </c>
      <c r="J494" s="14">
        <v>17152237.550000001</v>
      </c>
    </row>
    <row r="495" spans="1:10" s="3" customFormat="1" x14ac:dyDescent="0.2">
      <c r="A495" s="200">
        <v>3311</v>
      </c>
      <c r="B495" s="199" t="s">
        <v>271</v>
      </c>
      <c r="C495" s="136">
        <f>SUM(C496:C497)</f>
        <v>35844000</v>
      </c>
      <c r="D495" s="136">
        <f>SUM(D496:D497)</f>
        <v>33769236</v>
      </c>
      <c r="E495" s="136">
        <v>6558945</v>
      </c>
      <c r="F495" s="133">
        <f>SUM(E496:E497)</f>
        <v>6558945</v>
      </c>
      <c r="G495" s="120">
        <f t="shared" si="162"/>
        <v>18.298585537328425</v>
      </c>
      <c r="H495" s="120">
        <f t="shared" si="171"/>
        <v>19.422840955004133</v>
      </c>
      <c r="I495" s="120">
        <f t="shared" si="172"/>
        <v>103.94447800116089</v>
      </c>
      <c r="J495" s="6">
        <v>6310046.5999999996</v>
      </c>
    </row>
    <row r="496" spans="1:10" s="3" customFormat="1" ht="12.75" customHeight="1" x14ac:dyDescent="0.2">
      <c r="A496" s="191"/>
      <c r="B496" s="190" t="s">
        <v>270</v>
      </c>
      <c r="C496" s="126">
        <v>12044000</v>
      </c>
      <c r="D496" s="126">
        <f>12044000+25236-100000</f>
        <v>11969236</v>
      </c>
      <c r="E496" s="130">
        <v>5800000</v>
      </c>
      <c r="F496" s="130"/>
      <c r="G496" s="126">
        <f t="shared" si="162"/>
        <v>48.15675855197609</v>
      </c>
      <c r="H496" s="126">
        <f t="shared" si="171"/>
        <v>48.457562370731097</v>
      </c>
      <c r="I496" s="126">
        <f t="shared" si="172"/>
        <v>105.45454545454544</v>
      </c>
      <c r="J496" s="6">
        <v>5500000</v>
      </c>
    </row>
    <row r="497" spans="1:10" s="3" customFormat="1" ht="24.75" x14ac:dyDescent="0.2">
      <c r="A497" s="191"/>
      <c r="B497" s="194" t="s">
        <v>269</v>
      </c>
      <c r="C497" s="126">
        <f>+(20000+4000-200)*1000</f>
        <v>23800000</v>
      </c>
      <c r="D497" s="126">
        <f>((20000+4000-200)*1000)-2000000</f>
        <v>21800000</v>
      </c>
      <c r="E497" s="130">
        <v>758945</v>
      </c>
      <c r="F497" s="130"/>
      <c r="G497" s="126">
        <f t="shared" si="162"/>
        <v>3.1888445378151262</v>
      </c>
      <c r="H497" s="126">
        <f t="shared" si="171"/>
        <v>3.4813990825688075</v>
      </c>
      <c r="I497" s="126">
        <f t="shared" si="172"/>
        <v>107.87109564325539</v>
      </c>
      <c r="J497" s="6">
        <v>703566.6</v>
      </c>
    </row>
    <row r="498" spans="1:10" x14ac:dyDescent="0.2">
      <c r="A498" s="193">
        <v>3319</v>
      </c>
      <c r="B498" s="198" t="s">
        <v>268</v>
      </c>
      <c r="C498" s="121">
        <f>SUM(C499:C500)</f>
        <v>1017000</v>
      </c>
      <c r="D498" s="121">
        <f>SUM(D499:D500)</f>
        <v>1017000</v>
      </c>
      <c r="E498" s="121">
        <v>15019</v>
      </c>
      <c r="F498" s="130">
        <f>SUM(E499:E500)</f>
        <v>15019</v>
      </c>
      <c r="G498" s="120">
        <f t="shared" si="162"/>
        <v>1.476794493608653</v>
      </c>
      <c r="H498" s="120">
        <f t="shared" si="171"/>
        <v>1.476794493608653</v>
      </c>
      <c r="I498" s="120">
        <f t="shared" si="172"/>
        <v>6.6672381399937111</v>
      </c>
      <c r="J498" s="6">
        <v>225265.69</v>
      </c>
    </row>
    <row r="499" spans="1:10" ht="12.75" customHeight="1" x14ac:dyDescent="0.2">
      <c r="A499" s="193"/>
      <c r="B499" s="197" t="s">
        <v>267</v>
      </c>
      <c r="C499" s="126">
        <f>417000+5000</f>
        <v>422000</v>
      </c>
      <c r="D499" s="126">
        <f>417000+5000</f>
        <v>422000</v>
      </c>
      <c r="E499" s="130">
        <v>0</v>
      </c>
      <c r="F499" s="130"/>
      <c r="G499" s="126">
        <f t="shared" si="162"/>
        <v>0</v>
      </c>
      <c r="H499" s="126">
        <f t="shared" si="171"/>
        <v>0</v>
      </c>
      <c r="I499" s="126">
        <f t="shared" si="172"/>
        <v>0</v>
      </c>
      <c r="J499" s="6">
        <v>52418.37</v>
      </c>
    </row>
    <row r="500" spans="1:10" ht="24.75" customHeight="1" x14ac:dyDescent="0.2">
      <c r="A500" s="193"/>
      <c r="B500" s="197" t="s">
        <v>266</v>
      </c>
      <c r="C500" s="126">
        <v>595000</v>
      </c>
      <c r="D500" s="126">
        <v>595000</v>
      </c>
      <c r="E500" s="130">
        <v>15019</v>
      </c>
      <c r="F500" s="130"/>
      <c r="G500" s="126">
        <f t="shared" si="162"/>
        <v>2.5242016806722689</v>
      </c>
      <c r="H500" s="126">
        <f t="shared" si="171"/>
        <v>2.5242016806722689</v>
      </c>
      <c r="I500" s="126">
        <f t="shared" si="172"/>
        <v>8.6891714606856496</v>
      </c>
      <c r="J500" s="171">
        <v>172847.32</v>
      </c>
    </row>
    <row r="501" spans="1:10" x14ac:dyDescent="0.2">
      <c r="A501" s="193">
        <v>3322</v>
      </c>
      <c r="B501" s="198" t="s">
        <v>265</v>
      </c>
      <c r="C501" s="122">
        <f>SUM(C502:C504)</f>
        <v>332000</v>
      </c>
      <c r="D501" s="122">
        <f>SUM(D502:D504)</f>
        <v>332000</v>
      </c>
      <c r="E501" s="122">
        <v>0</v>
      </c>
      <c r="F501" s="127">
        <f>SUM(E502:E504)</f>
        <v>0</v>
      </c>
      <c r="G501" s="120">
        <f t="shared" si="162"/>
        <v>0</v>
      </c>
      <c r="H501" s="120">
        <f t="shared" si="171"/>
        <v>0</v>
      </c>
      <c r="I501" s="120">
        <f t="shared" si="172"/>
        <v>0</v>
      </c>
      <c r="J501" s="6">
        <v>13480</v>
      </c>
    </row>
    <row r="502" spans="1:10" ht="12.75" customHeight="1" x14ac:dyDescent="0.2">
      <c r="A502" s="191"/>
      <c r="B502" s="197" t="s">
        <v>264</v>
      </c>
      <c r="C502" s="126">
        <v>10000</v>
      </c>
      <c r="D502" s="126">
        <v>10000</v>
      </c>
      <c r="E502" s="295">
        <v>0</v>
      </c>
      <c r="F502" s="295"/>
      <c r="G502" s="126">
        <f t="shared" si="162"/>
        <v>0</v>
      </c>
      <c r="H502" s="126">
        <f>E502/D502*100</f>
        <v>0</v>
      </c>
      <c r="I502" s="126">
        <v>0</v>
      </c>
      <c r="J502" s="14">
        <v>0</v>
      </c>
    </row>
    <row r="503" spans="1:10" ht="12.75" customHeight="1" x14ac:dyDescent="0.2">
      <c r="A503" s="191"/>
      <c r="B503" s="190" t="s">
        <v>263</v>
      </c>
      <c r="C503" s="126">
        <v>42000</v>
      </c>
      <c r="D503" s="126">
        <v>42000</v>
      </c>
      <c r="E503" s="130">
        <v>0</v>
      </c>
      <c r="F503" s="130"/>
      <c r="G503" s="126">
        <f t="shared" si="162"/>
        <v>0</v>
      </c>
      <c r="H503" s="130">
        <f t="shared" ref="H503:H509" si="173">E503/D503*100</f>
        <v>0</v>
      </c>
      <c r="I503" s="126">
        <f>E503/J503*100</f>
        <v>0</v>
      </c>
      <c r="J503" s="14">
        <v>13480</v>
      </c>
    </row>
    <row r="504" spans="1:10" s="3" customFormat="1" ht="25.5" x14ac:dyDescent="0.2">
      <c r="A504" s="191"/>
      <c r="B504" s="190" t="s">
        <v>262</v>
      </c>
      <c r="C504" s="126">
        <v>280000</v>
      </c>
      <c r="D504" s="126">
        <v>280000</v>
      </c>
      <c r="E504" s="126">
        <v>0</v>
      </c>
      <c r="F504" s="126"/>
      <c r="G504" s="126">
        <f t="shared" ref="G504:G530" si="174">E504/C504*100</f>
        <v>0</v>
      </c>
      <c r="H504" s="126">
        <f t="shared" si="173"/>
        <v>0</v>
      </c>
      <c r="I504" s="126">
        <v>0</v>
      </c>
      <c r="J504" s="6">
        <v>0</v>
      </c>
    </row>
    <row r="505" spans="1:10" s="3" customFormat="1" x14ac:dyDescent="0.2">
      <c r="A505" s="193">
        <v>3326</v>
      </c>
      <c r="B505" s="192" t="s">
        <v>261</v>
      </c>
      <c r="C505" s="122">
        <f>SUM(C506:C507)</f>
        <v>341000</v>
      </c>
      <c r="D505" s="122">
        <f>SUM(D506:D507)</f>
        <v>341000</v>
      </c>
      <c r="E505" s="121">
        <v>1735.3</v>
      </c>
      <c r="F505" s="130">
        <f>SUM(E506:E507)</f>
        <v>1735.3</v>
      </c>
      <c r="G505" s="120">
        <f t="shared" si="174"/>
        <v>0.50888563049853375</v>
      </c>
      <c r="H505" s="120">
        <f t="shared" si="173"/>
        <v>0.50888563049853375</v>
      </c>
      <c r="I505" s="120">
        <f t="shared" ref="I505:I508" si="175">E505/J505*100</f>
        <v>277.97712491590045</v>
      </c>
      <c r="J505" s="14">
        <v>624.26</v>
      </c>
    </row>
    <row r="506" spans="1:10" s="3" customFormat="1" ht="12.75" customHeight="1" x14ac:dyDescent="0.2">
      <c r="A506" s="191"/>
      <c r="B506" s="190" t="s">
        <v>791</v>
      </c>
      <c r="C506" s="126">
        <v>338000</v>
      </c>
      <c r="D506" s="126">
        <v>338000</v>
      </c>
      <c r="E506" s="130">
        <v>0</v>
      </c>
      <c r="F506" s="130"/>
      <c r="G506" s="126">
        <f t="shared" si="174"/>
        <v>0</v>
      </c>
      <c r="H506" s="126">
        <f t="shared" si="173"/>
        <v>0</v>
      </c>
      <c r="I506" s="126">
        <v>0</v>
      </c>
      <c r="J506" s="6">
        <v>0</v>
      </c>
    </row>
    <row r="507" spans="1:10" s="3" customFormat="1" ht="12.75" customHeight="1" x14ac:dyDescent="0.2">
      <c r="A507" s="191"/>
      <c r="B507" s="190" t="s">
        <v>260</v>
      </c>
      <c r="C507" s="126">
        <v>3000</v>
      </c>
      <c r="D507" s="126">
        <v>3000</v>
      </c>
      <c r="E507" s="130">
        <v>1735.3</v>
      </c>
      <c r="F507" s="130"/>
      <c r="G507" s="126">
        <f t="shared" si="174"/>
        <v>57.843333333333334</v>
      </c>
      <c r="H507" s="126">
        <f t="shared" si="173"/>
        <v>57.843333333333334</v>
      </c>
      <c r="I507" s="126">
        <f t="shared" si="175"/>
        <v>277.97712491590045</v>
      </c>
      <c r="J507" s="14">
        <v>624.26</v>
      </c>
    </row>
    <row r="508" spans="1:10" x14ac:dyDescent="0.2">
      <c r="A508" s="193">
        <v>3392</v>
      </c>
      <c r="B508" s="192" t="s">
        <v>259</v>
      </c>
      <c r="C508" s="122">
        <f>C510+C509</f>
        <v>26232000</v>
      </c>
      <c r="D508" s="122">
        <f>D510+D509</f>
        <v>30743243</v>
      </c>
      <c r="E508" s="121">
        <v>12502299</v>
      </c>
      <c r="F508" s="130"/>
      <c r="G508" s="120">
        <f t="shared" si="174"/>
        <v>47.660487191216831</v>
      </c>
      <c r="H508" s="120">
        <f t="shared" si="173"/>
        <v>40.666819047034174</v>
      </c>
      <c r="I508" s="120">
        <f t="shared" si="175"/>
        <v>118.35877547511838</v>
      </c>
      <c r="J508" s="6">
        <v>10563052</v>
      </c>
    </row>
    <row r="509" spans="1:10" ht="12.75" customHeight="1" x14ac:dyDescent="0.2">
      <c r="A509" s="193"/>
      <c r="B509" s="190" t="s">
        <v>258</v>
      </c>
      <c r="C509" s="126">
        <v>26000</v>
      </c>
      <c r="D509" s="126">
        <v>26000</v>
      </c>
      <c r="E509" s="130">
        <v>0</v>
      </c>
      <c r="F509" s="130"/>
      <c r="G509" s="126">
        <f t="shared" si="174"/>
        <v>0</v>
      </c>
      <c r="H509" s="126">
        <f t="shared" si="173"/>
        <v>0</v>
      </c>
      <c r="I509" s="126">
        <v>0</v>
      </c>
      <c r="J509" s="6">
        <v>0</v>
      </c>
    </row>
    <row r="510" spans="1:10" x14ac:dyDescent="0.2">
      <c r="A510" s="191"/>
      <c r="B510" s="190" t="s">
        <v>257</v>
      </c>
      <c r="C510" s="122">
        <f>SUM(C511+C513+C514)</f>
        <v>26206000</v>
      </c>
      <c r="D510" s="122">
        <f>SUM(D511+D513+D514)</f>
        <v>30717243</v>
      </c>
      <c r="E510" s="121">
        <v>12502299</v>
      </c>
      <c r="F510" s="130">
        <f>SUM(E511:E514)</f>
        <v>12502299</v>
      </c>
      <c r="G510" s="120">
        <f t="shared" si="174"/>
        <v>47.707773029077309</v>
      </c>
      <c r="H510" s="120">
        <f t="shared" ref="H510" si="176">E510/D510*100</f>
        <v>40.701240667985736</v>
      </c>
      <c r="I510" s="120">
        <f t="shared" ref="I510" si="177">E510/J510*100</f>
        <v>118.35877547511838</v>
      </c>
      <c r="J510" s="6">
        <v>10563052</v>
      </c>
    </row>
    <row r="511" spans="1:10" ht="12.75" customHeight="1" x14ac:dyDescent="0.2">
      <c r="A511" s="191"/>
      <c r="B511" s="190" t="s">
        <v>256</v>
      </c>
      <c r="C511" s="126">
        <v>24300000</v>
      </c>
      <c r="D511" s="126">
        <f>24300000+4123000-250000+830000+100000+(-300000-330000)</f>
        <v>28473000</v>
      </c>
      <c r="E511" s="130">
        <v>11761500</v>
      </c>
      <c r="F511" s="130"/>
      <c r="G511" s="126">
        <f t="shared" si="174"/>
        <v>48.401234567901234</v>
      </c>
      <c r="H511" s="130">
        <f t="shared" ref="H511:H524" si="178">E511/D511*100</f>
        <v>41.307554525339796</v>
      </c>
      <c r="I511" s="130">
        <f>E511/J511*100</f>
        <v>114.45044519048315</v>
      </c>
      <c r="J511" s="6">
        <v>10276500</v>
      </c>
    </row>
    <row r="512" spans="1:10" ht="12.75" customHeight="1" x14ac:dyDescent="0.2">
      <c r="A512" s="191"/>
      <c r="B512" s="190" t="s">
        <v>255</v>
      </c>
      <c r="C512" s="126"/>
      <c r="D512" s="126"/>
      <c r="E512" s="538"/>
      <c r="F512" s="130"/>
      <c r="G512" s="126"/>
      <c r="H512" s="510"/>
      <c r="I512" s="130"/>
      <c r="J512" s="6"/>
    </row>
    <row r="513" spans="1:10" s="3" customFormat="1" ht="48.75" x14ac:dyDescent="0.2">
      <c r="A513" s="191"/>
      <c r="B513" s="190" t="s">
        <v>253</v>
      </c>
      <c r="C513" s="126">
        <f>+(415+351+130+310+313+57+157-600)*1000</f>
        <v>1133000</v>
      </c>
      <c r="D513" s="126">
        <f>((415+351+130+310+313+57+157-600)*1000)+330000+8243+32201</f>
        <v>1503444</v>
      </c>
      <c r="E513" s="130">
        <v>0</v>
      </c>
      <c r="F513" s="130"/>
      <c r="G513" s="126">
        <f t="shared" si="174"/>
        <v>0</v>
      </c>
      <c r="H513" s="126">
        <f t="shared" si="178"/>
        <v>0</v>
      </c>
      <c r="I513" s="130">
        <f t="shared" ref="I513" si="179">E513/J513*100</f>
        <v>0</v>
      </c>
      <c r="J513" s="6">
        <v>286552</v>
      </c>
    </row>
    <row r="514" spans="1:10" s="3" customFormat="1" ht="12.75" customHeight="1" x14ac:dyDescent="0.2">
      <c r="A514" s="191"/>
      <c r="B514" s="194" t="s">
        <v>978</v>
      </c>
      <c r="C514" s="126">
        <v>773000</v>
      </c>
      <c r="D514" s="126">
        <f>773000-32201</f>
        <v>740799</v>
      </c>
      <c r="E514" s="126">
        <v>740799</v>
      </c>
      <c r="F514" s="126"/>
      <c r="G514" s="126">
        <f>E514/C514*100</f>
        <v>95.834282018111253</v>
      </c>
      <c r="H514" s="126">
        <f>E514/D514*100</f>
        <v>100</v>
      </c>
      <c r="I514" s="130">
        <v>0</v>
      </c>
      <c r="J514" s="6">
        <v>0</v>
      </c>
    </row>
    <row r="515" spans="1:10" x14ac:dyDescent="0.2">
      <c r="A515" s="193">
        <v>3399</v>
      </c>
      <c r="B515" s="192" t="s">
        <v>252</v>
      </c>
      <c r="C515" s="122">
        <f>C516</f>
        <v>180000</v>
      </c>
      <c r="D515" s="122">
        <f>D516</f>
        <v>180000</v>
      </c>
      <c r="E515" s="121">
        <v>55191</v>
      </c>
      <c r="F515" s="130"/>
      <c r="G515" s="120">
        <f t="shared" si="174"/>
        <v>30.661666666666665</v>
      </c>
      <c r="H515" s="120">
        <f t="shared" si="178"/>
        <v>30.661666666666665</v>
      </c>
      <c r="I515" s="120">
        <f t="shared" ref="I515:I521" si="180">E515/J515*100</f>
        <v>138.77894842716688</v>
      </c>
      <c r="J515" s="162">
        <v>39769</v>
      </c>
    </row>
    <row r="516" spans="1:10" ht="12.75" customHeight="1" thickBot="1" x14ac:dyDescent="0.25">
      <c r="A516" s="191"/>
      <c r="B516" s="190" t="s">
        <v>251</v>
      </c>
      <c r="C516" s="126">
        <v>180000</v>
      </c>
      <c r="D516" s="126">
        <v>180000</v>
      </c>
      <c r="E516" s="151">
        <v>55191</v>
      </c>
      <c r="F516" s="151"/>
      <c r="G516" s="126">
        <f t="shared" si="174"/>
        <v>30.661666666666665</v>
      </c>
      <c r="H516" s="151">
        <f t="shared" si="178"/>
        <v>30.661666666666665</v>
      </c>
      <c r="I516" s="151">
        <f t="shared" si="180"/>
        <v>138.77894842716688</v>
      </c>
      <c r="J516" s="129">
        <v>39769</v>
      </c>
    </row>
    <row r="517" spans="1:10" ht="16.5" thickBot="1" x14ac:dyDescent="0.3">
      <c r="A517" s="140"/>
      <c r="B517" s="158" t="s">
        <v>250</v>
      </c>
      <c r="C517" s="189">
        <f>C518</f>
        <v>17576816</v>
      </c>
      <c r="D517" s="189">
        <f>D518</f>
        <v>18637285</v>
      </c>
      <c r="E517" s="479">
        <v>15526395</v>
      </c>
      <c r="F517" s="536"/>
      <c r="G517" s="479">
        <f>E517/C517*100</f>
        <v>88.334514055332889</v>
      </c>
      <c r="H517" s="479">
        <f t="shared" si="178"/>
        <v>83.308244736290717</v>
      </c>
      <c r="I517" s="479">
        <f t="shared" si="180"/>
        <v>81.985659475106587</v>
      </c>
      <c r="J517" s="129">
        <v>18937940</v>
      </c>
    </row>
    <row r="518" spans="1:10" x14ac:dyDescent="0.2">
      <c r="A518" s="124"/>
      <c r="B518" s="188" t="s">
        <v>249</v>
      </c>
      <c r="C518" s="187">
        <f>SUM(C519:C527)</f>
        <v>17576816</v>
      </c>
      <c r="D518" s="187">
        <f>SUM(D519:D527)</f>
        <v>18637285</v>
      </c>
      <c r="E518" s="120">
        <v>15526395</v>
      </c>
      <c r="F518" s="126">
        <f>SUM(E519:E527)</f>
        <v>15526395</v>
      </c>
      <c r="G518" s="120">
        <f t="shared" si="174"/>
        <v>88.334514055332889</v>
      </c>
      <c r="H518" s="120">
        <f t="shared" si="178"/>
        <v>83.308244736290717</v>
      </c>
      <c r="I518" s="120">
        <f t="shared" si="180"/>
        <v>81.998649058301737</v>
      </c>
      <c r="J518" s="14">
        <v>18934940</v>
      </c>
    </row>
    <row r="519" spans="1:10" s="3" customFormat="1" ht="12.75" customHeight="1" x14ac:dyDescent="0.2">
      <c r="A519" s="132"/>
      <c r="B519" s="183" t="s">
        <v>248</v>
      </c>
      <c r="C519" s="126">
        <v>893000</v>
      </c>
      <c r="D519" s="126">
        <v>893000</v>
      </c>
      <c r="E519" s="130">
        <v>804000</v>
      </c>
      <c r="F519" s="130"/>
      <c r="G519" s="126">
        <f t="shared" si="174"/>
        <v>90.033594624860029</v>
      </c>
      <c r="H519" s="126">
        <f t="shared" si="178"/>
        <v>90.033594624860029</v>
      </c>
      <c r="I519" s="126">
        <f t="shared" si="180"/>
        <v>103.74193548387096</v>
      </c>
      <c r="J519" s="14">
        <v>775000</v>
      </c>
    </row>
    <row r="520" spans="1:10" s="3" customFormat="1" ht="12.75" customHeight="1" x14ac:dyDescent="0.2">
      <c r="A520" s="132"/>
      <c r="B520" s="183" t="s">
        <v>247</v>
      </c>
      <c r="C520" s="126">
        <v>297000</v>
      </c>
      <c r="D520" s="126">
        <v>297000</v>
      </c>
      <c r="E520" s="104">
        <v>62100</v>
      </c>
      <c r="F520" s="104"/>
      <c r="G520" s="126">
        <f t="shared" si="174"/>
        <v>20.909090909090907</v>
      </c>
      <c r="H520" s="126">
        <f t="shared" si="178"/>
        <v>20.909090909090907</v>
      </c>
      <c r="I520" s="126">
        <f t="shared" si="180"/>
        <v>43.125</v>
      </c>
      <c r="J520" s="6">
        <v>144000</v>
      </c>
    </row>
    <row r="521" spans="1:10" s="3" customFormat="1" ht="12.75" customHeight="1" x14ac:dyDescent="0.2">
      <c r="A521" s="132"/>
      <c r="B521" s="183" t="s">
        <v>246</v>
      </c>
      <c r="C521" s="126">
        <v>3029270</v>
      </c>
      <c r="D521" s="126">
        <v>3029270</v>
      </c>
      <c r="E521" s="126">
        <v>2951270</v>
      </c>
      <c r="F521" s="126"/>
      <c r="G521" s="126">
        <f t="shared" si="174"/>
        <v>97.425122224166216</v>
      </c>
      <c r="H521" s="126">
        <f t="shared" si="178"/>
        <v>97.425122224166216</v>
      </c>
      <c r="I521" s="126">
        <f t="shared" si="180"/>
        <v>76.42807199274894</v>
      </c>
      <c r="J521" s="6">
        <v>3861500</v>
      </c>
    </row>
    <row r="522" spans="1:10" ht="12.75" customHeight="1" x14ac:dyDescent="0.2">
      <c r="A522" s="132"/>
      <c r="B522" s="183" t="s">
        <v>245</v>
      </c>
      <c r="C522" s="126">
        <v>5469340</v>
      </c>
      <c r="D522" s="126">
        <v>5469340</v>
      </c>
      <c r="E522" s="130">
        <v>5162240</v>
      </c>
      <c r="F522" s="130"/>
      <c r="G522" s="126">
        <f t="shared" si="174"/>
        <v>94.385062914355302</v>
      </c>
      <c r="H522" s="126">
        <f t="shared" si="178"/>
        <v>94.385062914355302</v>
      </c>
      <c r="I522" s="126">
        <f t="shared" ref="I522:I527" si="181">E522/J522*100</f>
        <v>73.630580516331477</v>
      </c>
      <c r="J522" s="6">
        <v>7011000</v>
      </c>
    </row>
    <row r="523" spans="1:10" ht="12.75" customHeight="1" x14ac:dyDescent="0.2">
      <c r="A523" s="132"/>
      <c r="B523" s="183" t="s">
        <v>244</v>
      </c>
      <c r="C523" s="126">
        <v>40000</v>
      </c>
      <c r="D523" s="126">
        <v>40000</v>
      </c>
      <c r="E523" s="130">
        <v>18000</v>
      </c>
      <c r="F523" s="130"/>
      <c r="G523" s="126">
        <f t="shared" si="174"/>
        <v>45</v>
      </c>
      <c r="H523" s="126">
        <f t="shared" si="178"/>
        <v>45</v>
      </c>
      <c r="I523" s="126">
        <f t="shared" si="181"/>
        <v>56.25</v>
      </c>
      <c r="J523" s="6">
        <v>32000</v>
      </c>
    </row>
    <row r="524" spans="1:10" ht="12.75" customHeight="1" x14ac:dyDescent="0.2">
      <c r="A524" s="132"/>
      <c r="B524" s="183" t="s">
        <v>243</v>
      </c>
      <c r="C524" s="126">
        <v>6500000</v>
      </c>
      <c r="D524" s="126">
        <v>6500000</v>
      </c>
      <c r="E524" s="130">
        <v>4300000</v>
      </c>
      <c r="F524" s="130"/>
      <c r="G524" s="126">
        <f t="shared" si="174"/>
        <v>66.153846153846146</v>
      </c>
      <c r="H524" s="126">
        <f t="shared" si="178"/>
        <v>66.153846153846146</v>
      </c>
      <c r="I524" s="126">
        <f t="shared" si="181"/>
        <v>100</v>
      </c>
      <c r="J524" s="6">
        <v>4300000</v>
      </c>
    </row>
    <row r="525" spans="1:10" ht="12.75" customHeight="1" x14ac:dyDescent="0.2">
      <c r="A525" s="185"/>
      <c r="B525" s="183" t="s">
        <v>242</v>
      </c>
      <c r="C525" s="126">
        <v>666000</v>
      </c>
      <c r="D525" s="126">
        <v>666000</v>
      </c>
      <c r="E525" s="126">
        <v>657000</v>
      </c>
      <c r="F525" s="126"/>
      <c r="G525" s="126">
        <f t="shared" si="174"/>
        <v>98.648648648648646</v>
      </c>
      <c r="H525" s="126">
        <f t="shared" ref="H525:H536" si="182">E525/D525*100</f>
        <v>98.648648648648646</v>
      </c>
      <c r="I525" s="126">
        <f t="shared" si="181"/>
        <v>92.665726375176305</v>
      </c>
      <c r="J525" s="14">
        <v>709000</v>
      </c>
    </row>
    <row r="526" spans="1:10" ht="12.75" customHeight="1" x14ac:dyDescent="0.2">
      <c r="A526" s="185"/>
      <c r="B526" s="183" t="s">
        <v>241</v>
      </c>
      <c r="C526" s="126">
        <v>84000</v>
      </c>
      <c r="D526" s="126">
        <v>84000</v>
      </c>
      <c r="E526" s="127">
        <v>7500</v>
      </c>
      <c r="F526" s="127"/>
      <c r="G526" s="126">
        <f t="shared" si="174"/>
        <v>8.9285714285714288</v>
      </c>
      <c r="H526" s="126">
        <f t="shared" si="182"/>
        <v>8.9285714285714288</v>
      </c>
      <c r="I526" s="126">
        <f t="shared" si="181"/>
        <v>18.292682926829269</v>
      </c>
      <c r="J526" s="6">
        <v>41000</v>
      </c>
    </row>
    <row r="527" spans="1:10" ht="37.5" thickBot="1" x14ac:dyDescent="0.25">
      <c r="A527" s="184"/>
      <c r="B527" s="183" t="s">
        <v>240</v>
      </c>
      <c r="C527" s="126">
        <v>598206</v>
      </c>
      <c r="D527" s="126">
        <f>598206+500000+79385+267145+213939</f>
        <v>1658675</v>
      </c>
      <c r="E527" s="117">
        <v>1564285</v>
      </c>
      <c r="F527" s="117"/>
      <c r="G527" s="126">
        <f t="shared" si="174"/>
        <v>261.49603982574564</v>
      </c>
      <c r="H527" s="151">
        <f t="shared" si="182"/>
        <v>94.30931315658583</v>
      </c>
      <c r="I527" s="126">
        <f t="shared" si="181"/>
        <v>100.18220360692693</v>
      </c>
      <c r="J527" s="6">
        <v>1561440</v>
      </c>
    </row>
    <row r="528" spans="1:10" ht="21" customHeight="1" thickBot="1" x14ac:dyDescent="0.35">
      <c r="A528" s="140"/>
      <c r="B528" s="139" t="s">
        <v>239</v>
      </c>
      <c r="C528" s="181">
        <f>SUM(C530)</f>
        <v>24084500</v>
      </c>
      <c r="D528" s="181">
        <f>SUM(D530)</f>
        <v>24084500</v>
      </c>
      <c r="E528" s="181">
        <v>10675839.41</v>
      </c>
      <c r="F528" s="710"/>
      <c r="G528" s="571">
        <f>E528/C528*100</f>
        <v>44.326597645788787</v>
      </c>
      <c r="H528" s="181">
        <f t="shared" si="182"/>
        <v>44.326597645788787</v>
      </c>
      <c r="I528" s="181">
        <f>E528/J528*100</f>
        <v>85.351083716756875</v>
      </c>
      <c r="J528" s="14">
        <v>12508147.460000001</v>
      </c>
    </row>
    <row r="529" spans="1:10" ht="12" customHeight="1" x14ac:dyDescent="0.2">
      <c r="A529" s="124">
        <v>5311</v>
      </c>
      <c r="B529" s="180" t="s">
        <v>238</v>
      </c>
      <c r="C529" s="120">
        <f>SUM(C530)</f>
        <v>24084500</v>
      </c>
      <c r="D529" s="120">
        <f>SUM(D530)</f>
        <v>24084500</v>
      </c>
      <c r="E529" s="120">
        <v>10675839.41</v>
      </c>
      <c r="F529" s="126"/>
      <c r="G529" s="120">
        <f t="shared" si="174"/>
        <v>44.326597645788787</v>
      </c>
      <c r="H529" s="120">
        <f t="shared" si="182"/>
        <v>44.326597645788787</v>
      </c>
      <c r="I529" s="120">
        <f t="shared" ref="I529:I536" si="183">E529/J529*100</f>
        <v>85.351083716756875</v>
      </c>
      <c r="J529" s="6">
        <v>12508147.460000001</v>
      </c>
    </row>
    <row r="530" spans="1:10" ht="62.25" x14ac:dyDescent="0.2">
      <c r="A530" s="124"/>
      <c r="B530" s="179" t="s">
        <v>237</v>
      </c>
      <c r="C530" s="126">
        <f>(16000+3968+1440+2+275+1+101+127.5+10+240+1+242+30+3+27+2+579+283+80+7+50+10+100+6+500)*1000</f>
        <v>24084500</v>
      </c>
      <c r="D530" s="126">
        <f>(16000+3968+1440+2+275+1+101+127.5+10+240+1+242+30+3+27+2+579+283+80+7+50+10+100+6+500)*1000</f>
        <v>24084500</v>
      </c>
      <c r="E530" s="130">
        <v>10675839.41</v>
      </c>
      <c r="F530" s="130"/>
      <c r="G530" s="126">
        <f t="shared" si="174"/>
        <v>44.326597645788787</v>
      </c>
      <c r="H530" s="126">
        <f t="shared" si="182"/>
        <v>44.326597645788787</v>
      </c>
      <c r="I530" s="126">
        <f t="shared" si="183"/>
        <v>85.351083716756875</v>
      </c>
      <c r="J530" s="6">
        <v>12508147.460000001</v>
      </c>
    </row>
    <row r="531" spans="1:10" ht="12.75" customHeight="1" thickBot="1" x14ac:dyDescent="0.25">
      <c r="A531" s="143"/>
      <c r="B531" s="178"/>
      <c r="C531" s="151"/>
      <c r="D531" s="151"/>
      <c r="E531" s="117"/>
      <c r="F531" s="117"/>
      <c r="G531" s="151"/>
      <c r="H531" s="151"/>
      <c r="I531" s="151"/>
      <c r="J531" s="6"/>
    </row>
    <row r="532" spans="1:10" ht="21" thickBot="1" x14ac:dyDescent="0.35">
      <c r="A532" s="140"/>
      <c r="B532" s="139" t="s">
        <v>236</v>
      </c>
      <c r="C532" s="176">
        <f>SUM(C533:C538)+C547</f>
        <v>34895800</v>
      </c>
      <c r="D532" s="176">
        <f>SUM(D533:D538)+D547</f>
        <v>35062237.5</v>
      </c>
      <c r="E532" s="181">
        <v>10224875.470000001</v>
      </c>
      <c r="F532" s="317">
        <f>SUM(E533:E538,E547)</f>
        <v>10224875.470000001</v>
      </c>
      <c r="G532" s="571">
        <f>E532/C532*100</f>
        <v>29.301163664395148</v>
      </c>
      <c r="H532" s="181">
        <f t="shared" si="182"/>
        <v>29.162073498589475</v>
      </c>
      <c r="I532" s="181">
        <f t="shared" si="183"/>
        <v>91.666701376420662</v>
      </c>
      <c r="J532" s="14">
        <v>11154405.380000001</v>
      </c>
    </row>
    <row r="533" spans="1:10" s="3" customFormat="1" ht="36.75" x14ac:dyDescent="0.2">
      <c r="A533" s="138">
        <v>5212</v>
      </c>
      <c r="B533" s="175" t="s">
        <v>235</v>
      </c>
      <c r="C533" s="120">
        <v>169000</v>
      </c>
      <c r="D533" s="120">
        <v>169000</v>
      </c>
      <c r="E533" s="120">
        <v>61000.94</v>
      </c>
      <c r="F533" s="126"/>
      <c r="G533" s="120">
        <f t="shared" ref="G533:G547" si="184">E533/C533*100</f>
        <v>36.095230769230767</v>
      </c>
      <c r="H533" s="120">
        <f t="shared" si="182"/>
        <v>36.095230769230767</v>
      </c>
      <c r="I533" s="120">
        <f t="shared" si="183"/>
        <v>188.23134077586531</v>
      </c>
      <c r="J533" s="6">
        <v>32407.43</v>
      </c>
    </row>
    <row r="534" spans="1:10" s="17" customFormat="1" ht="36.75" x14ac:dyDescent="0.25">
      <c r="A534" s="124">
        <v>5213</v>
      </c>
      <c r="B534" s="135" t="s">
        <v>234</v>
      </c>
      <c r="C534" s="120">
        <v>300000</v>
      </c>
      <c r="D534" s="120">
        <v>300000</v>
      </c>
      <c r="E534" s="121">
        <v>182473.38</v>
      </c>
      <c r="F534" s="130"/>
      <c r="G534" s="120">
        <f t="shared" si="184"/>
        <v>60.824460000000002</v>
      </c>
      <c r="H534" s="120">
        <f t="shared" si="182"/>
        <v>60.824460000000002</v>
      </c>
      <c r="I534" s="120">
        <f t="shared" si="183"/>
        <v>34.119371347596157</v>
      </c>
      <c r="J534" s="6">
        <v>534808.74</v>
      </c>
    </row>
    <row r="535" spans="1:10" s="3" customFormat="1" ht="24.75" x14ac:dyDescent="0.2">
      <c r="A535" s="124">
        <v>5273</v>
      </c>
      <c r="B535" s="135" t="s">
        <v>233</v>
      </c>
      <c r="C535" s="120">
        <v>5000</v>
      </c>
      <c r="D535" s="120">
        <v>5000</v>
      </c>
      <c r="E535" s="121">
        <v>0</v>
      </c>
      <c r="F535" s="130"/>
      <c r="G535" s="120">
        <f t="shared" si="184"/>
        <v>0</v>
      </c>
      <c r="H535" s="120">
        <f t="shared" si="182"/>
        <v>0</v>
      </c>
      <c r="I535" s="120">
        <v>0</v>
      </c>
      <c r="J535" s="6">
        <v>0</v>
      </c>
    </row>
    <row r="536" spans="1:10" s="17" customFormat="1" ht="15.75" x14ac:dyDescent="0.25">
      <c r="A536" s="124">
        <v>5511</v>
      </c>
      <c r="B536" s="135" t="s">
        <v>232</v>
      </c>
      <c r="C536" s="120">
        <v>1800000</v>
      </c>
      <c r="D536" s="120">
        <v>1800000</v>
      </c>
      <c r="E536" s="134">
        <v>1698645</v>
      </c>
      <c r="F536" s="117"/>
      <c r="G536" s="120">
        <f t="shared" si="184"/>
        <v>94.369166666666672</v>
      </c>
      <c r="H536" s="120">
        <f t="shared" si="182"/>
        <v>94.369166666666672</v>
      </c>
      <c r="I536" s="120">
        <f t="shared" si="183"/>
        <v>103.19998979327742</v>
      </c>
      <c r="J536" s="14">
        <v>1645974</v>
      </c>
    </row>
    <row r="537" spans="1:10" s="17" customFormat="1" ht="36.75" x14ac:dyDescent="0.25">
      <c r="A537" s="124">
        <v>5512</v>
      </c>
      <c r="B537" s="135" t="s">
        <v>231</v>
      </c>
      <c r="C537" s="120">
        <v>332600</v>
      </c>
      <c r="D537" s="120">
        <v>332600</v>
      </c>
      <c r="E537" s="713">
        <v>12718.1</v>
      </c>
      <c r="F537" s="525"/>
      <c r="G537" s="120">
        <f t="shared" si="184"/>
        <v>3.8238424533974746</v>
      </c>
      <c r="H537" s="510">
        <f>E537/D537*100</f>
        <v>3.8238424533974746</v>
      </c>
      <c r="I537" s="510">
        <f>E537/J537*100</f>
        <v>12.399457501188703</v>
      </c>
      <c r="J537" s="6">
        <v>102569.81</v>
      </c>
    </row>
    <row r="538" spans="1:10" s="17" customFormat="1" ht="12.75" customHeight="1" x14ac:dyDescent="0.25">
      <c r="A538" s="124">
        <v>6171</v>
      </c>
      <c r="B538" s="123" t="s">
        <v>219</v>
      </c>
      <c r="C538" s="122">
        <f>SUM(C539:C546)</f>
        <v>30939200</v>
      </c>
      <c r="D538" s="122">
        <f>SUM(D539:D546)</f>
        <v>31105637.5</v>
      </c>
      <c r="E538" s="522">
        <v>7647292.9199999999</v>
      </c>
      <c r="F538" s="523">
        <f>SUM(E539:E546)</f>
        <v>7647292.9199999999</v>
      </c>
      <c r="G538" s="120">
        <f t="shared" si="184"/>
        <v>24.717164373998035</v>
      </c>
      <c r="H538" s="120">
        <f>E538/D538*100</f>
        <v>24.584909793281039</v>
      </c>
      <c r="I538" s="120">
        <f>E538/J538*100</f>
        <v>92.178723588498499</v>
      </c>
      <c r="J538" s="14">
        <v>8296158.4000000004</v>
      </c>
    </row>
    <row r="539" spans="1:10" s="17" customFormat="1" ht="156" x14ac:dyDescent="0.25">
      <c r="A539" s="124"/>
      <c r="B539" s="172" t="s">
        <v>230</v>
      </c>
      <c r="C539" s="126">
        <f>21917200-1500000</f>
        <v>20417200</v>
      </c>
      <c r="D539" s="126">
        <f>(21917200-1500000)-400000</f>
        <v>20017200</v>
      </c>
      <c r="E539" s="126">
        <v>6121657.5999999996</v>
      </c>
      <c r="F539" s="126"/>
      <c r="G539" s="126">
        <f t="shared" si="184"/>
        <v>29.982845835863873</v>
      </c>
      <c r="H539" s="126">
        <f>E539/D540*100</f>
        <v>1275.3453333333332</v>
      </c>
      <c r="I539" s="126">
        <f t="shared" ref="I539:I546" si="185">E539/J539*100</f>
        <v>94.706223474218504</v>
      </c>
      <c r="J539" s="6">
        <v>6463838.7800000003</v>
      </c>
    </row>
    <row r="540" spans="1:10" s="17" customFormat="1" ht="36" x14ac:dyDescent="0.25">
      <c r="A540" s="124"/>
      <c r="B540" s="174" t="s">
        <v>229</v>
      </c>
      <c r="C540" s="126">
        <v>480000</v>
      </c>
      <c r="D540" s="126">
        <v>480000</v>
      </c>
      <c r="E540" s="130">
        <v>6000</v>
      </c>
      <c r="F540" s="130"/>
      <c r="G540" s="126">
        <f t="shared" si="184"/>
        <v>1.25</v>
      </c>
      <c r="H540" s="126">
        <f t="shared" ref="H540:H546" si="186">E540/D540*100</f>
        <v>1.25</v>
      </c>
      <c r="I540" s="126">
        <v>0</v>
      </c>
      <c r="J540" s="6">
        <v>0</v>
      </c>
    </row>
    <row r="541" spans="1:10" s="3" customFormat="1" ht="48" x14ac:dyDescent="0.2">
      <c r="A541" s="132"/>
      <c r="B541" s="173" t="s">
        <v>228</v>
      </c>
      <c r="C541" s="126">
        <v>5977400</v>
      </c>
      <c r="D541" s="126">
        <v>5977400</v>
      </c>
      <c r="E541" s="130">
        <v>1100504</v>
      </c>
      <c r="F541" s="130"/>
      <c r="G541" s="126">
        <f t="shared" si="184"/>
        <v>18.411081741225281</v>
      </c>
      <c r="H541" s="126">
        <f t="shared" si="186"/>
        <v>18.411081741225281</v>
      </c>
      <c r="I541" s="126">
        <f t="shared" si="185"/>
        <v>71.640384310564187</v>
      </c>
      <c r="J541" s="6">
        <v>1536150.33</v>
      </c>
    </row>
    <row r="542" spans="1:10" ht="24" x14ac:dyDescent="0.2">
      <c r="A542" s="132"/>
      <c r="B542" s="172" t="s">
        <v>227</v>
      </c>
      <c r="C542" s="126">
        <v>3071000</v>
      </c>
      <c r="D542" s="126">
        <f>3071000+(59625+506812.5)</f>
        <v>3637437.5</v>
      </c>
      <c r="E542" s="127">
        <v>67384.899999999994</v>
      </c>
      <c r="F542" s="127"/>
      <c r="G542" s="126">
        <f t="shared" si="184"/>
        <v>2.1942331488114619</v>
      </c>
      <c r="H542" s="126">
        <f t="shared" si="186"/>
        <v>1.8525376724685989</v>
      </c>
      <c r="I542" s="126">
        <v>0</v>
      </c>
      <c r="J542" s="6">
        <v>0</v>
      </c>
    </row>
    <row r="543" spans="1:10" ht="36.75" x14ac:dyDescent="0.2">
      <c r="A543" s="132"/>
      <c r="B543" s="128" t="s">
        <v>226</v>
      </c>
      <c r="C543" s="126">
        <f>833000-300000</f>
        <v>533000</v>
      </c>
      <c r="D543" s="126">
        <f>833000-300000</f>
        <v>533000</v>
      </c>
      <c r="E543" s="127">
        <v>206425.55</v>
      </c>
      <c r="F543" s="127"/>
      <c r="G543" s="126">
        <f t="shared" si="184"/>
        <v>38.728996247654784</v>
      </c>
      <c r="H543" s="126">
        <f t="shared" si="186"/>
        <v>38.728996247654784</v>
      </c>
      <c r="I543" s="126">
        <f t="shared" si="185"/>
        <v>124.82525719951224</v>
      </c>
      <c r="J543" s="6">
        <v>165371.62</v>
      </c>
    </row>
    <row r="544" spans="1:10" ht="14.25" customHeight="1" x14ac:dyDescent="0.2">
      <c r="A544" s="132"/>
      <c r="B544" s="155" t="s">
        <v>225</v>
      </c>
      <c r="C544" s="126">
        <v>200000</v>
      </c>
      <c r="D544" s="126">
        <v>200000</v>
      </c>
      <c r="E544" s="127">
        <v>84014.95</v>
      </c>
      <c r="F544" s="127"/>
      <c r="G544" s="126">
        <f t="shared" si="184"/>
        <v>42.007474999999999</v>
      </c>
      <c r="H544" s="126">
        <f t="shared" si="186"/>
        <v>42.007474999999999</v>
      </c>
      <c r="I544" s="126">
        <f t="shared" si="185"/>
        <v>113.22185121711372</v>
      </c>
      <c r="J544" s="14">
        <v>74203.83</v>
      </c>
    </row>
    <row r="545" spans="1:10" x14ac:dyDescent="0.2">
      <c r="A545" s="132"/>
      <c r="B545" s="155" t="s">
        <v>224</v>
      </c>
      <c r="C545" s="126">
        <v>60000</v>
      </c>
      <c r="D545" s="126">
        <v>60000</v>
      </c>
      <c r="E545" s="130">
        <v>17007.05</v>
      </c>
      <c r="F545" s="130"/>
      <c r="G545" s="126">
        <f t="shared" si="184"/>
        <v>28.345083333333331</v>
      </c>
      <c r="H545" s="126">
        <f t="shared" si="186"/>
        <v>28.345083333333331</v>
      </c>
      <c r="I545" s="126">
        <f t="shared" si="185"/>
        <v>96.686450747303837</v>
      </c>
      <c r="J545" s="14">
        <v>17589.900000000001</v>
      </c>
    </row>
    <row r="546" spans="1:10" ht="24.75" x14ac:dyDescent="0.2">
      <c r="A546" s="132"/>
      <c r="B546" s="128" t="s">
        <v>223</v>
      </c>
      <c r="C546" s="126">
        <v>200600</v>
      </c>
      <c r="D546" s="126">
        <v>200600</v>
      </c>
      <c r="E546" s="130">
        <v>44298.87</v>
      </c>
      <c r="F546" s="130"/>
      <c r="G546" s="126">
        <f t="shared" si="184"/>
        <v>22.083185443668995</v>
      </c>
      <c r="H546" s="126">
        <f t="shared" si="186"/>
        <v>22.083185443668995</v>
      </c>
      <c r="I546" s="126">
        <f t="shared" si="185"/>
        <v>113.57537212907209</v>
      </c>
      <c r="J546" s="6">
        <v>39003.94</v>
      </c>
    </row>
    <row r="547" spans="1:10" ht="12.75" customHeight="1" x14ac:dyDescent="0.2">
      <c r="A547" s="124">
        <v>6320</v>
      </c>
      <c r="B547" s="123" t="s">
        <v>222</v>
      </c>
      <c r="C547" s="120">
        <v>1350000</v>
      </c>
      <c r="D547" s="120">
        <v>1350000</v>
      </c>
      <c r="E547" s="121">
        <v>622745.13</v>
      </c>
      <c r="F547" s="130"/>
      <c r="G547" s="120">
        <f t="shared" si="184"/>
        <v>46.129268888888895</v>
      </c>
      <c r="H547" s="120">
        <f t="shared" ref="H547" si="187">E547/D547*100</f>
        <v>46.129268888888895</v>
      </c>
      <c r="I547" s="120">
        <f t="shared" ref="I547" si="188">E547/J547*100</f>
        <v>114.79447986772033</v>
      </c>
      <c r="J547" s="14">
        <v>542487</v>
      </c>
    </row>
    <row r="548" spans="1:10" ht="12.75" customHeight="1" thickBot="1" x14ac:dyDescent="0.25">
      <c r="A548" s="169"/>
      <c r="B548" s="168"/>
      <c r="C548" s="151"/>
      <c r="D548" s="151"/>
      <c r="E548" s="526"/>
      <c r="F548" s="326"/>
      <c r="G548" s="526"/>
      <c r="H548" s="526"/>
      <c r="I548" s="526"/>
      <c r="J548" s="6"/>
    </row>
    <row r="549" spans="1:10" ht="21" thickBot="1" x14ac:dyDescent="0.35">
      <c r="A549" s="140"/>
      <c r="B549" s="139" t="s">
        <v>221</v>
      </c>
      <c r="C549" s="552">
        <f>SUM(C550:C552,C557)</f>
        <v>149365960</v>
      </c>
      <c r="D549" s="552">
        <f>SUM(D550:D552,D557)</f>
        <v>151136957</v>
      </c>
      <c r="E549" s="181">
        <v>62813196.600000001</v>
      </c>
      <c r="F549" s="317">
        <f>SUM(E550:E552,E557)</f>
        <v>62813196.600000001</v>
      </c>
      <c r="G549" s="571">
        <f>E549/C549*100</f>
        <v>42.05322055975806</v>
      </c>
      <c r="H549" s="181">
        <f t="shared" ref="H549:H556" si="189">E549/D549*100</f>
        <v>41.560448117266255</v>
      </c>
      <c r="I549" s="181">
        <f t="shared" ref="I549:I556" si="190">E549/J549*100</f>
        <v>103.31626522821007</v>
      </c>
      <c r="J549" s="14">
        <v>60797006.609999999</v>
      </c>
    </row>
    <row r="550" spans="1:10" x14ac:dyDescent="0.2">
      <c r="A550" s="20">
        <v>3341</v>
      </c>
      <c r="B550" s="123" t="s">
        <v>336</v>
      </c>
      <c r="C550" s="120">
        <v>0</v>
      </c>
      <c r="D550" s="120">
        <v>2095129</v>
      </c>
      <c r="E550" s="494">
        <v>670340</v>
      </c>
      <c r="F550" s="208"/>
      <c r="G550" s="120">
        <v>0</v>
      </c>
      <c r="H550" s="120">
        <f t="shared" si="189"/>
        <v>31.995165930116954</v>
      </c>
      <c r="I550" s="120">
        <f t="shared" si="190"/>
        <v>78.51446334472972</v>
      </c>
      <c r="J550" s="14">
        <v>853779</v>
      </c>
    </row>
    <row r="551" spans="1:10" s="3" customFormat="1" ht="36.75" x14ac:dyDescent="0.2">
      <c r="A551" s="124">
        <v>6112</v>
      </c>
      <c r="B551" s="135" t="s">
        <v>220</v>
      </c>
      <c r="C551" s="120">
        <v>8946400</v>
      </c>
      <c r="D551" s="120">
        <v>8946400</v>
      </c>
      <c r="E551" s="136">
        <v>4128500</v>
      </c>
      <c r="F551" s="133"/>
      <c r="G551" s="120">
        <f t="shared" ref="G551:G557" si="191">E551/C551*100</f>
        <v>46.147053563444516</v>
      </c>
      <c r="H551" s="120">
        <f t="shared" si="189"/>
        <v>46.147053563444516</v>
      </c>
      <c r="I551" s="120">
        <f t="shared" si="190"/>
        <v>98.143510368837511</v>
      </c>
      <c r="J551" s="6">
        <v>4206595</v>
      </c>
    </row>
    <row r="552" spans="1:10" s="3" customFormat="1" x14ac:dyDescent="0.2">
      <c r="A552" s="124">
        <v>6171</v>
      </c>
      <c r="B552" s="123" t="s">
        <v>219</v>
      </c>
      <c r="C552" s="136">
        <f>SUM(C553:C556)</f>
        <v>134519560</v>
      </c>
      <c r="D552" s="136">
        <f>SUM(D553:D556)</f>
        <v>134195428</v>
      </c>
      <c r="E552" s="121">
        <v>54989249.270000003</v>
      </c>
      <c r="F552" s="130"/>
      <c r="G552" s="120">
        <f t="shared" si="191"/>
        <v>40.878255377879618</v>
      </c>
      <c r="H552" s="120">
        <f t="shared" si="189"/>
        <v>40.976991608089662</v>
      </c>
      <c r="I552" s="120">
        <f t="shared" si="190"/>
        <v>102.69129891102311</v>
      </c>
      <c r="J552" s="6">
        <v>53548109.579999998</v>
      </c>
    </row>
    <row r="553" spans="1:10" ht="36" customHeight="1" x14ac:dyDescent="0.2">
      <c r="A553" s="138"/>
      <c r="B553" s="146" t="s">
        <v>218</v>
      </c>
      <c r="C553" s="126">
        <v>120650400</v>
      </c>
      <c r="D553" s="126">
        <f>120650400+(-366300-90800-32900)+(-1137306+1211186)+91988</f>
        <v>120326268</v>
      </c>
      <c r="E553" s="127">
        <v>47524851.009999998</v>
      </c>
      <c r="F553" s="127"/>
      <c r="G553" s="126">
        <f t="shared" si="191"/>
        <v>39.390545750366343</v>
      </c>
      <c r="H553" s="126">
        <f t="shared" si="189"/>
        <v>39.496655052909972</v>
      </c>
      <c r="I553" s="126">
        <f t="shared" si="190"/>
        <v>99.804967587592017</v>
      </c>
      <c r="J553" s="6">
        <v>47617721</v>
      </c>
    </row>
    <row r="554" spans="1:10" ht="12.75" customHeight="1" x14ac:dyDescent="0.25">
      <c r="A554" s="167"/>
      <c r="B554" s="128" t="s">
        <v>967</v>
      </c>
      <c r="C554" s="126">
        <v>0</v>
      </c>
      <c r="D554" s="126">
        <v>0</v>
      </c>
      <c r="E554" s="117">
        <v>792141.12</v>
      </c>
      <c r="F554" s="117"/>
      <c r="G554" s="126">
        <v>0</v>
      </c>
      <c r="H554" s="126">
        <v>0</v>
      </c>
      <c r="I554" s="126">
        <f t="shared" ref="I554" si="192">E554/J554*100</f>
        <v>23.194880466625968</v>
      </c>
      <c r="J554" s="6">
        <v>3415155</v>
      </c>
    </row>
    <row r="555" spans="1:10" ht="12.75" customHeight="1" x14ac:dyDescent="0.25">
      <c r="A555" s="167"/>
      <c r="B555" s="128" t="s">
        <v>217</v>
      </c>
      <c r="C555" s="126">
        <v>7669160</v>
      </c>
      <c r="D555" s="126">
        <v>7669160</v>
      </c>
      <c r="E555" s="117">
        <v>3316811</v>
      </c>
      <c r="F555" s="117"/>
      <c r="G555" s="126">
        <f t="shared" si="191"/>
        <v>43.248686948766228</v>
      </c>
      <c r="H555" s="126">
        <f t="shared" si="189"/>
        <v>43.248686948766228</v>
      </c>
      <c r="I555" s="126">
        <f t="shared" si="190"/>
        <v>97.1203649614732</v>
      </c>
      <c r="J555" s="6">
        <v>3415155</v>
      </c>
    </row>
    <row r="556" spans="1:10" ht="48.75" x14ac:dyDescent="0.25">
      <c r="A556" s="167"/>
      <c r="B556" s="166" t="s">
        <v>216</v>
      </c>
      <c r="C556" s="126">
        <f>5900000+300000</f>
        <v>6200000</v>
      </c>
      <c r="D556" s="126">
        <f>5900000+300000</f>
        <v>6200000</v>
      </c>
      <c r="E556" s="130">
        <v>3355446.14</v>
      </c>
      <c r="F556" s="130"/>
      <c r="G556" s="126">
        <f t="shared" si="191"/>
        <v>54.120099032258061</v>
      </c>
      <c r="H556" s="130">
        <f t="shared" si="189"/>
        <v>54.120099032258061</v>
      </c>
      <c r="I556" s="130">
        <f t="shared" si="190"/>
        <v>133.40495159896838</v>
      </c>
      <c r="J556" s="6">
        <v>2515233.58</v>
      </c>
    </row>
    <row r="557" spans="1:10" x14ac:dyDescent="0.2">
      <c r="A557" s="124">
        <v>6330</v>
      </c>
      <c r="B557" s="123" t="s">
        <v>215</v>
      </c>
      <c r="C557" s="120">
        <v>5900000</v>
      </c>
      <c r="D557" s="120">
        <v>5900000</v>
      </c>
      <c r="E557" s="120">
        <v>3025107.33</v>
      </c>
      <c r="F557" s="126"/>
      <c r="G557" s="120">
        <f t="shared" si="191"/>
        <v>51.273005593220347</v>
      </c>
      <c r="H557" s="120">
        <f t="shared" ref="H557:H575" si="193">E557/D557*100</f>
        <v>51.273005593220347</v>
      </c>
      <c r="I557" s="120">
        <f t="shared" ref="I557:I565" si="194">E557/J557*100</f>
        <v>99.434812854527792</v>
      </c>
      <c r="J557" s="14">
        <v>3042302.03</v>
      </c>
    </row>
    <row r="558" spans="1:10" ht="13.5" thickBot="1" x14ac:dyDescent="0.25">
      <c r="A558" s="165"/>
      <c r="B558" s="164"/>
      <c r="C558" s="151"/>
      <c r="D558" s="151"/>
      <c r="E558" s="117"/>
      <c r="F558" s="117"/>
      <c r="G558" s="486"/>
      <c r="H558" s="486"/>
      <c r="I558" s="486"/>
      <c r="J558" s="14"/>
    </row>
    <row r="559" spans="1:10" ht="21" thickBot="1" x14ac:dyDescent="0.35">
      <c r="A559" s="140"/>
      <c r="B559" s="139" t="s">
        <v>214</v>
      </c>
      <c r="C559" s="552">
        <f>C560+C585</f>
        <v>10937288</v>
      </c>
      <c r="D559" s="552">
        <f>D560+D585</f>
        <v>10887288</v>
      </c>
      <c r="E559" s="242">
        <v>9146016.3599999994</v>
      </c>
      <c r="F559" s="705">
        <f>SUM(E560,E585)</f>
        <v>9146016.3599999994</v>
      </c>
      <c r="G559" s="571">
        <f>E559/C559*100</f>
        <v>83.622341845620227</v>
      </c>
      <c r="H559" s="181">
        <f t="shared" si="193"/>
        <v>84.0063784479661</v>
      </c>
      <c r="I559" s="181">
        <f t="shared" si="194"/>
        <v>138.27491559696711</v>
      </c>
      <c r="J559" s="14">
        <v>6614371.3200000003</v>
      </c>
    </row>
    <row r="560" spans="1:10" ht="16.5" thickBot="1" x14ac:dyDescent="0.3">
      <c r="A560" s="140"/>
      <c r="B560" s="158" t="s">
        <v>213</v>
      </c>
      <c r="C560" s="163">
        <f>C561+C562+C563+C564+C567+C569+C571+C573+C575+C577+C579+C584</f>
        <v>3067000</v>
      </c>
      <c r="D560" s="163">
        <f>D561+D562+D563+D564+D567+D569+D571+D573+D575+D577+D579+D584</f>
        <v>3017000</v>
      </c>
      <c r="E560" s="479">
        <v>1966616.36</v>
      </c>
      <c r="F560" s="317">
        <f>SUM(E561:E564,E567,E569,E571,E573,E575,E577,E579,E584)</f>
        <v>1966616.3599999999</v>
      </c>
      <c r="G560" s="479">
        <f>E560/C560*100</f>
        <v>64.121824584284312</v>
      </c>
      <c r="H560" s="479">
        <f t="shared" si="193"/>
        <v>65.184499834272458</v>
      </c>
      <c r="I560" s="479">
        <f t="shared" si="194"/>
        <v>338.27199456622668</v>
      </c>
      <c r="J560" s="14">
        <v>581371.31999999995</v>
      </c>
    </row>
    <row r="561" spans="1:10" x14ac:dyDescent="0.2">
      <c r="A561" s="124">
        <v>2293</v>
      </c>
      <c r="B561" s="123" t="s">
        <v>212</v>
      </c>
      <c r="C561" s="120">
        <v>726000</v>
      </c>
      <c r="D561" s="120">
        <v>726000</v>
      </c>
      <c r="E561" s="527">
        <v>363000</v>
      </c>
      <c r="F561" s="528"/>
      <c r="G561" s="120">
        <f t="shared" ref="G561:G593" si="195">E561/C561*100</f>
        <v>50</v>
      </c>
      <c r="H561" s="120">
        <f t="shared" si="193"/>
        <v>50</v>
      </c>
      <c r="I561" s="120">
        <f t="shared" si="194"/>
        <v>105.04493492422873</v>
      </c>
      <c r="J561" s="14">
        <v>345566.4</v>
      </c>
    </row>
    <row r="562" spans="1:10" x14ac:dyDescent="0.2">
      <c r="A562" s="124">
        <v>3613</v>
      </c>
      <c r="B562" s="123" t="s">
        <v>211</v>
      </c>
      <c r="C562" s="120">
        <v>3000</v>
      </c>
      <c r="D562" s="120">
        <v>3000</v>
      </c>
      <c r="E562" s="120">
        <v>0</v>
      </c>
      <c r="F562" s="126"/>
      <c r="G562" s="120">
        <f t="shared" si="195"/>
        <v>0</v>
      </c>
      <c r="H562" s="120">
        <f t="shared" si="193"/>
        <v>0</v>
      </c>
      <c r="I562" s="120">
        <v>0</v>
      </c>
      <c r="J562" s="14">
        <v>0</v>
      </c>
    </row>
    <row r="563" spans="1:10" s="17" customFormat="1" ht="15.75" x14ac:dyDescent="0.25">
      <c r="A563" s="124">
        <v>3632</v>
      </c>
      <c r="B563" s="123" t="s">
        <v>210</v>
      </c>
      <c r="C563" s="120">
        <v>130000</v>
      </c>
      <c r="D563" s="120">
        <v>130000</v>
      </c>
      <c r="E563" s="121">
        <v>60490.7</v>
      </c>
      <c r="F563" s="130"/>
      <c r="G563" s="120">
        <f t="shared" si="195"/>
        <v>46.531307692307692</v>
      </c>
      <c r="H563" s="120">
        <f>E563/D563*100</f>
        <v>46.531307692307692</v>
      </c>
      <c r="I563" s="120">
        <f t="shared" si="194"/>
        <v>51.759605129010325</v>
      </c>
      <c r="J563" s="14">
        <v>116868.55</v>
      </c>
    </row>
    <row r="564" spans="1:10" s="17" customFormat="1" ht="12.75" customHeight="1" x14ac:dyDescent="0.25">
      <c r="A564" s="124">
        <v>4329</v>
      </c>
      <c r="B564" s="123" t="s">
        <v>209</v>
      </c>
      <c r="C564" s="122">
        <f>SUM(C565:C566)</f>
        <v>205000</v>
      </c>
      <c r="D564" s="122">
        <f>SUM(D565:D566)</f>
        <v>255000</v>
      </c>
      <c r="E564" s="121">
        <v>72398</v>
      </c>
      <c r="F564" s="130">
        <f>SUM(E565:E566)</f>
        <v>72398</v>
      </c>
      <c r="G564" s="120">
        <f t="shared" si="195"/>
        <v>35.316097560975614</v>
      </c>
      <c r="H564" s="120">
        <f t="shared" si="193"/>
        <v>28.391372549019607</v>
      </c>
      <c r="I564" s="120">
        <f t="shared" si="194"/>
        <v>1326.9428152492669</v>
      </c>
      <c r="J564" s="14">
        <v>5456</v>
      </c>
    </row>
    <row r="565" spans="1:10" s="3" customFormat="1" x14ac:dyDescent="0.2">
      <c r="A565" s="124"/>
      <c r="B565" s="131" t="s">
        <v>208</v>
      </c>
      <c r="C565" s="126">
        <v>5000</v>
      </c>
      <c r="D565" s="126">
        <v>5000</v>
      </c>
      <c r="E565" s="130">
        <v>1598</v>
      </c>
      <c r="F565" s="130"/>
      <c r="G565" s="126">
        <f t="shared" si="195"/>
        <v>31.96</v>
      </c>
      <c r="H565" s="126">
        <f t="shared" si="193"/>
        <v>31.96</v>
      </c>
      <c r="I565" s="126">
        <f t="shared" si="194"/>
        <v>55.952380952380956</v>
      </c>
      <c r="J565" s="14">
        <v>2856</v>
      </c>
    </row>
    <row r="566" spans="1:10" s="3" customFormat="1" x14ac:dyDescent="0.2">
      <c r="A566" s="124"/>
      <c r="B566" s="131" t="s">
        <v>207</v>
      </c>
      <c r="C566" s="126">
        <v>200000</v>
      </c>
      <c r="D566" s="126">
        <f>200000+50000</f>
        <v>250000</v>
      </c>
      <c r="E566" s="130">
        <v>70800</v>
      </c>
      <c r="F566" s="130"/>
      <c r="G566" s="126">
        <f t="shared" si="195"/>
        <v>35.4</v>
      </c>
      <c r="H566" s="126">
        <f t="shared" si="193"/>
        <v>28.32</v>
      </c>
      <c r="I566" s="126">
        <v>0</v>
      </c>
      <c r="J566" s="14">
        <v>0</v>
      </c>
    </row>
    <row r="567" spans="1:10" s="3" customFormat="1" x14ac:dyDescent="0.2">
      <c r="A567" s="124">
        <v>4339</v>
      </c>
      <c r="B567" s="123" t="s">
        <v>206</v>
      </c>
      <c r="C567" s="122">
        <f>C568</f>
        <v>0</v>
      </c>
      <c r="D567" s="122">
        <f>D568</f>
        <v>0</v>
      </c>
      <c r="E567" s="121">
        <v>0</v>
      </c>
      <c r="F567" s="130"/>
      <c r="G567" s="120">
        <v>0</v>
      </c>
      <c r="H567" s="120">
        <v>0</v>
      </c>
      <c r="I567" s="120">
        <v>0</v>
      </c>
      <c r="J567" s="14">
        <v>0</v>
      </c>
    </row>
    <row r="568" spans="1:10" s="3" customFormat="1" x14ac:dyDescent="0.2">
      <c r="A568" s="124"/>
      <c r="B568" s="131" t="s">
        <v>205</v>
      </c>
      <c r="C568" s="126">
        <v>0</v>
      </c>
      <c r="D568" s="126">
        <v>0</v>
      </c>
      <c r="E568" s="130">
        <v>0</v>
      </c>
      <c r="F568" s="130"/>
      <c r="G568" s="126">
        <v>0</v>
      </c>
      <c r="H568" s="126">
        <v>0</v>
      </c>
      <c r="I568" s="126">
        <v>0</v>
      </c>
      <c r="J568" s="14">
        <v>0</v>
      </c>
    </row>
    <row r="569" spans="1:10" s="3" customFormat="1" x14ac:dyDescent="0.2">
      <c r="A569" s="124">
        <v>4344</v>
      </c>
      <c r="B569" s="123" t="s">
        <v>204</v>
      </c>
      <c r="C569" s="122">
        <f>SUM(C570:C570)</f>
        <v>298000</v>
      </c>
      <c r="D569" s="122">
        <f>SUM(D570:D570)</f>
        <v>298000</v>
      </c>
      <c r="E569" s="134">
        <v>293500</v>
      </c>
      <c r="F569" s="117"/>
      <c r="G569" s="120">
        <f t="shared" si="195"/>
        <v>98.489932885906043</v>
      </c>
      <c r="H569" s="120">
        <f t="shared" si="193"/>
        <v>98.489932885906043</v>
      </c>
      <c r="I569" s="120">
        <v>0</v>
      </c>
      <c r="J569" s="14">
        <v>0</v>
      </c>
    </row>
    <row r="570" spans="1:10" s="3" customFormat="1" x14ac:dyDescent="0.2">
      <c r="A570" s="132"/>
      <c r="B570" s="123" t="s">
        <v>203</v>
      </c>
      <c r="C570" s="126">
        <v>298000</v>
      </c>
      <c r="D570" s="126">
        <v>298000</v>
      </c>
      <c r="E570" s="117">
        <v>293500</v>
      </c>
      <c r="F570" s="117"/>
      <c r="G570" s="126">
        <f t="shared" si="195"/>
        <v>98.489932885906043</v>
      </c>
      <c r="H570" s="126">
        <f t="shared" si="193"/>
        <v>98.489932885906043</v>
      </c>
      <c r="I570" s="126">
        <v>0</v>
      </c>
      <c r="J570" s="14">
        <v>0</v>
      </c>
    </row>
    <row r="571" spans="1:10" x14ac:dyDescent="0.2">
      <c r="A571" s="124">
        <v>4349</v>
      </c>
      <c r="B571" s="123" t="s">
        <v>202</v>
      </c>
      <c r="C571" s="122">
        <f>SUM(C572:C572)</f>
        <v>250000</v>
      </c>
      <c r="D571" s="122">
        <f>SUM(D572:D572)</f>
        <v>150000</v>
      </c>
      <c r="E571" s="122">
        <v>2400</v>
      </c>
      <c r="F571" s="10"/>
      <c r="G571" s="120">
        <f t="shared" si="195"/>
        <v>0.96</v>
      </c>
      <c r="H571" s="120">
        <f t="shared" si="193"/>
        <v>1.6</v>
      </c>
      <c r="I571" s="120">
        <v>0</v>
      </c>
      <c r="J571" s="14">
        <v>0</v>
      </c>
    </row>
    <row r="572" spans="1:10" x14ac:dyDescent="0.2">
      <c r="A572" s="132"/>
      <c r="B572" s="155" t="s">
        <v>201</v>
      </c>
      <c r="C572" s="126">
        <v>250000</v>
      </c>
      <c r="D572" s="126">
        <f>250000-100000</f>
        <v>150000</v>
      </c>
      <c r="E572" s="133">
        <v>2400</v>
      </c>
      <c r="F572" s="133"/>
      <c r="G572" s="126">
        <f t="shared" si="195"/>
        <v>0.96</v>
      </c>
      <c r="H572" s="126">
        <f>E572/D572*100</f>
        <v>1.6</v>
      </c>
      <c r="I572" s="126">
        <v>0</v>
      </c>
      <c r="J572" s="14">
        <v>0</v>
      </c>
    </row>
    <row r="573" spans="1:10" x14ac:dyDescent="0.2">
      <c r="A573" s="124">
        <v>4351</v>
      </c>
      <c r="B573" s="123" t="s">
        <v>200</v>
      </c>
      <c r="C573" s="122">
        <f>SUM(C574:C574)</f>
        <v>35000</v>
      </c>
      <c r="D573" s="122">
        <f>SUM(D574:D574)</f>
        <v>35000</v>
      </c>
      <c r="E573" s="120">
        <v>35000</v>
      </c>
      <c r="F573" s="126"/>
      <c r="G573" s="120">
        <f t="shared" si="195"/>
        <v>100</v>
      </c>
      <c r="H573" s="120">
        <f t="shared" si="193"/>
        <v>100</v>
      </c>
      <c r="I573" s="120">
        <v>0</v>
      </c>
      <c r="J573" s="6">
        <v>0</v>
      </c>
    </row>
    <row r="574" spans="1:10" s="3" customFormat="1" x14ac:dyDescent="0.2">
      <c r="A574" s="132"/>
      <c r="B574" s="131" t="s">
        <v>198</v>
      </c>
      <c r="C574" s="126">
        <v>35000</v>
      </c>
      <c r="D574" s="126">
        <v>35000</v>
      </c>
      <c r="E574" s="130">
        <v>35000</v>
      </c>
      <c r="F574" s="130"/>
      <c r="G574" s="126">
        <f t="shared" si="195"/>
        <v>100</v>
      </c>
      <c r="H574" s="126">
        <f t="shared" si="193"/>
        <v>100</v>
      </c>
      <c r="I574" s="126">
        <v>0</v>
      </c>
      <c r="J574" s="129">
        <v>0</v>
      </c>
    </row>
    <row r="575" spans="1:10" x14ac:dyDescent="0.2">
      <c r="A575" s="124">
        <v>4371</v>
      </c>
      <c r="B575" s="123" t="s">
        <v>199</v>
      </c>
      <c r="C575" s="122">
        <f>SUM(C576:C576)</f>
        <v>240000</v>
      </c>
      <c r="D575" s="122">
        <f>SUM(D576:D576)</f>
        <v>240000</v>
      </c>
      <c r="E575" s="120">
        <v>233000</v>
      </c>
      <c r="F575" s="126"/>
      <c r="G575" s="120">
        <f t="shared" si="195"/>
        <v>97.083333333333329</v>
      </c>
      <c r="H575" s="120">
        <f t="shared" si="193"/>
        <v>97.083333333333329</v>
      </c>
      <c r="I575" s="120">
        <v>0</v>
      </c>
      <c r="J575" s="125">
        <v>0</v>
      </c>
    </row>
    <row r="576" spans="1:10" x14ac:dyDescent="0.2">
      <c r="A576" s="132"/>
      <c r="B576" s="131" t="s">
        <v>198</v>
      </c>
      <c r="C576" s="126">
        <v>240000</v>
      </c>
      <c r="D576" s="126">
        <v>240000</v>
      </c>
      <c r="E576" s="130">
        <v>233000</v>
      </c>
      <c r="F576" s="130"/>
      <c r="G576" s="126">
        <f t="shared" si="195"/>
        <v>97.083333333333329</v>
      </c>
      <c r="H576" s="126">
        <f>E576/D576*100</f>
        <v>97.083333333333329</v>
      </c>
      <c r="I576" s="126">
        <v>0</v>
      </c>
      <c r="J576" s="14">
        <v>0</v>
      </c>
    </row>
    <row r="577" spans="1:10" s="3" customFormat="1" x14ac:dyDescent="0.2">
      <c r="A577" s="124">
        <v>4374</v>
      </c>
      <c r="B577" s="161" t="s">
        <v>39</v>
      </c>
      <c r="C577" s="122">
        <f>SUM(C578:C578)</f>
        <v>822000</v>
      </c>
      <c r="D577" s="122">
        <f>SUM(D578:D578)</f>
        <v>822000</v>
      </c>
      <c r="E577" s="121">
        <v>822000</v>
      </c>
      <c r="F577" s="130"/>
      <c r="G577" s="120">
        <f t="shared" si="195"/>
        <v>100</v>
      </c>
      <c r="H577" s="120">
        <f>E577/D577*100</f>
        <v>100</v>
      </c>
      <c r="I577" s="120">
        <v>0</v>
      </c>
      <c r="J577" s="14">
        <v>0</v>
      </c>
    </row>
    <row r="578" spans="1:10" x14ac:dyDescent="0.2">
      <c r="A578" s="132"/>
      <c r="B578" s="131" t="s">
        <v>198</v>
      </c>
      <c r="C578" s="126">
        <v>822000</v>
      </c>
      <c r="D578" s="126">
        <v>822000</v>
      </c>
      <c r="E578" s="130">
        <v>822000</v>
      </c>
      <c r="F578" s="130"/>
      <c r="G578" s="126">
        <f t="shared" si="195"/>
        <v>100</v>
      </c>
      <c r="H578" s="126">
        <f>E578/D578*100</f>
        <v>100</v>
      </c>
      <c r="I578" s="126">
        <v>0</v>
      </c>
      <c r="J578" s="14">
        <v>0</v>
      </c>
    </row>
    <row r="579" spans="1:10" s="3" customFormat="1" x14ac:dyDescent="0.2">
      <c r="A579" s="124">
        <v>4379</v>
      </c>
      <c r="B579" s="123" t="s">
        <v>197</v>
      </c>
      <c r="C579" s="122">
        <f>SUM(C580:C583)</f>
        <v>345000</v>
      </c>
      <c r="D579" s="122">
        <f>SUM(D580:D583)</f>
        <v>345000</v>
      </c>
      <c r="E579" s="121">
        <v>54996.03</v>
      </c>
      <c r="F579" s="130">
        <f>SUM(E580:E583)</f>
        <v>54996.03</v>
      </c>
      <c r="G579" s="120">
        <f t="shared" si="195"/>
        <v>15.940878260869566</v>
      </c>
      <c r="H579" s="121">
        <f t="shared" ref="H579:H618" si="196">E579/D579*100</f>
        <v>15.940878260869566</v>
      </c>
      <c r="I579" s="121">
        <f t="shared" ref="I579:I618" si="197">E579/J579*100</f>
        <v>65.180055122603648</v>
      </c>
      <c r="J579" s="125">
        <v>84375.55</v>
      </c>
    </row>
    <row r="580" spans="1:10" x14ac:dyDescent="0.2">
      <c r="A580" s="132"/>
      <c r="B580" s="155" t="s">
        <v>196</v>
      </c>
      <c r="C580" s="126">
        <v>232000</v>
      </c>
      <c r="D580" s="126">
        <v>232000</v>
      </c>
      <c r="E580" s="126">
        <v>35896.800000000003</v>
      </c>
      <c r="F580" s="126"/>
      <c r="G580" s="126">
        <f t="shared" si="195"/>
        <v>15.472758620689655</v>
      </c>
      <c r="H580" s="126">
        <f t="shared" si="196"/>
        <v>15.472758620689655</v>
      </c>
      <c r="I580" s="126">
        <f t="shared" si="197"/>
        <v>66.81600786228347</v>
      </c>
      <c r="J580" s="14">
        <v>53724.85</v>
      </c>
    </row>
    <row r="581" spans="1:10" s="160" customFormat="1" x14ac:dyDescent="0.2">
      <c r="A581" s="132"/>
      <c r="B581" s="155" t="s">
        <v>195</v>
      </c>
      <c r="C581" s="126">
        <v>59000</v>
      </c>
      <c r="D581" s="126">
        <v>59000</v>
      </c>
      <c r="E581" s="130">
        <v>5800.6</v>
      </c>
      <c r="F581" s="130"/>
      <c r="G581" s="126">
        <f t="shared" si="195"/>
        <v>9.831525423728813</v>
      </c>
      <c r="H581" s="126">
        <f t="shared" si="196"/>
        <v>9.831525423728813</v>
      </c>
      <c r="I581" s="126">
        <f t="shared" si="197"/>
        <v>40.442027469845918</v>
      </c>
      <c r="J581" s="14">
        <v>14343</v>
      </c>
    </row>
    <row r="582" spans="1:10" x14ac:dyDescent="0.2">
      <c r="A582" s="132"/>
      <c r="B582" s="155" t="s">
        <v>194</v>
      </c>
      <c r="C582" s="126">
        <v>44000</v>
      </c>
      <c r="D582" s="126">
        <v>44000</v>
      </c>
      <c r="E582" s="130">
        <v>13298.63</v>
      </c>
      <c r="F582" s="130"/>
      <c r="G582" s="126">
        <f t="shared" si="195"/>
        <v>30.22415909090909</v>
      </c>
      <c r="H582" s="126">
        <f t="shared" si="196"/>
        <v>30.22415909090909</v>
      </c>
      <c r="I582" s="126">
        <f t="shared" si="197"/>
        <v>81.548164364073401</v>
      </c>
      <c r="J582" s="14">
        <v>16307.7</v>
      </c>
    </row>
    <row r="583" spans="1:10" s="3" customFormat="1" x14ac:dyDescent="0.2">
      <c r="A583" s="132"/>
      <c r="B583" s="155" t="s">
        <v>193</v>
      </c>
      <c r="C583" s="126">
        <v>10000</v>
      </c>
      <c r="D583" s="126">
        <v>10000</v>
      </c>
      <c r="E583" s="130">
        <v>0</v>
      </c>
      <c r="F583" s="130"/>
      <c r="G583" s="126">
        <f t="shared" si="195"/>
        <v>0</v>
      </c>
      <c r="H583" s="126">
        <f t="shared" si="196"/>
        <v>0</v>
      </c>
      <c r="I583" s="126">
        <v>0</v>
      </c>
      <c r="J583" s="14">
        <v>0</v>
      </c>
    </row>
    <row r="584" spans="1:10" ht="26.25" customHeight="1" thickBot="1" x14ac:dyDescent="0.25">
      <c r="A584" s="124">
        <v>4399</v>
      </c>
      <c r="B584" s="135" t="s">
        <v>968</v>
      </c>
      <c r="C584" s="120">
        <v>13000</v>
      </c>
      <c r="D584" s="120">
        <v>13000</v>
      </c>
      <c r="E584" s="121">
        <v>29831.63</v>
      </c>
      <c r="F584" s="130"/>
      <c r="G584" s="120">
        <f t="shared" si="195"/>
        <v>229.47407692307692</v>
      </c>
      <c r="H584" s="486">
        <f>E584/D584*100</f>
        <v>229.47407692307692</v>
      </c>
      <c r="I584" s="120">
        <f t="shared" si="197"/>
        <v>102.49721523788844</v>
      </c>
      <c r="J584" s="6">
        <v>29104.82</v>
      </c>
    </row>
    <row r="585" spans="1:10" ht="16.5" thickBot="1" x14ac:dyDescent="0.3">
      <c r="A585" s="140"/>
      <c r="B585" s="158" t="s">
        <v>191</v>
      </c>
      <c r="C585" s="157">
        <f>C586</f>
        <v>7870288</v>
      </c>
      <c r="D585" s="157">
        <f>D586</f>
        <v>7870288</v>
      </c>
      <c r="E585" s="479">
        <v>7179400</v>
      </c>
      <c r="F585" s="536"/>
      <c r="G585" s="479">
        <f>E585/C585*100</f>
        <v>91.221566478888704</v>
      </c>
      <c r="H585" s="479">
        <f t="shared" si="196"/>
        <v>91.221566478888704</v>
      </c>
      <c r="I585" s="479">
        <f t="shared" si="197"/>
        <v>119.00215481518318</v>
      </c>
      <c r="J585" s="14">
        <v>6033000</v>
      </c>
    </row>
    <row r="586" spans="1:10" x14ac:dyDescent="0.2">
      <c r="A586" s="156"/>
      <c r="B586" s="137" t="s">
        <v>190</v>
      </c>
      <c r="C586" s="122">
        <f>SUM(C587:C594)</f>
        <v>7870288</v>
      </c>
      <c r="D586" s="122">
        <f>SUM(D587:D594)</f>
        <v>7870288</v>
      </c>
      <c r="E586" s="120">
        <v>7179400</v>
      </c>
      <c r="F586" s="126">
        <f>SUM(E587:E594)</f>
        <v>7179400</v>
      </c>
      <c r="G586" s="120">
        <f t="shared" si="195"/>
        <v>91.221566478888704</v>
      </c>
      <c r="H586" s="120">
        <f t="shared" si="196"/>
        <v>91.221566478888704</v>
      </c>
      <c r="I586" s="120">
        <f t="shared" si="197"/>
        <v>119.00215481518318</v>
      </c>
      <c r="J586" s="14">
        <v>6033000</v>
      </c>
    </row>
    <row r="587" spans="1:10" s="3" customFormat="1" x14ac:dyDescent="0.2">
      <c r="A587" s="156"/>
      <c r="B587" s="155" t="s">
        <v>189</v>
      </c>
      <c r="C587" s="126">
        <v>190000</v>
      </c>
      <c r="D587" s="126">
        <v>190000</v>
      </c>
      <c r="E587" s="130">
        <v>122600</v>
      </c>
      <c r="F587" s="130"/>
      <c r="G587" s="126">
        <f t="shared" si="195"/>
        <v>64.526315789473685</v>
      </c>
      <c r="H587" s="126">
        <f t="shared" si="196"/>
        <v>64.526315789473685</v>
      </c>
      <c r="I587" s="126">
        <f t="shared" si="197"/>
        <v>82.837837837837839</v>
      </c>
      <c r="J587" s="14">
        <v>148000</v>
      </c>
    </row>
    <row r="588" spans="1:10" x14ac:dyDescent="0.2">
      <c r="A588" s="156"/>
      <c r="B588" s="155" t="s">
        <v>188</v>
      </c>
      <c r="C588" s="126">
        <v>170000</v>
      </c>
      <c r="D588" s="126">
        <v>170000</v>
      </c>
      <c r="E588" s="130">
        <v>98300</v>
      </c>
      <c r="F588" s="130"/>
      <c r="G588" s="126">
        <f t="shared" si="195"/>
        <v>57.82352941176471</v>
      </c>
      <c r="H588" s="126">
        <f t="shared" si="196"/>
        <v>57.82352941176471</v>
      </c>
      <c r="I588" s="126">
        <f t="shared" si="197"/>
        <v>119.8780487804878</v>
      </c>
      <c r="J588" s="14">
        <v>82000</v>
      </c>
    </row>
    <row r="589" spans="1:10" x14ac:dyDescent="0.2">
      <c r="A589" s="156"/>
      <c r="B589" s="155" t="s">
        <v>187</v>
      </c>
      <c r="C589" s="126">
        <v>5594688</v>
      </c>
      <c r="D589" s="126">
        <v>5594688</v>
      </c>
      <c r="E589" s="130">
        <v>5522600</v>
      </c>
      <c r="F589" s="130"/>
      <c r="G589" s="126">
        <f t="shared" si="195"/>
        <v>98.71149204388162</v>
      </c>
      <c r="H589" s="126">
        <f t="shared" si="196"/>
        <v>98.71149204388162</v>
      </c>
      <c r="I589" s="126">
        <f t="shared" si="197"/>
        <v>109.07977641272788</v>
      </c>
      <c r="J589" s="14">
        <v>5062900</v>
      </c>
    </row>
    <row r="590" spans="1:10" x14ac:dyDescent="0.2">
      <c r="A590" s="156"/>
      <c r="B590" s="155" t="s">
        <v>186</v>
      </c>
      <c r="C590" s="126">
        <v>1217600</v>
      </c>
      <c r="D590" s="126">
        <v>1217600</v>
      </c>
      <c r="E590" s="130">
        <v>1208900</v>
      </c>
      <c r="F590" s="130"/>
      <c r="G590" s="126">
        <f t="shared" si="195"/>
        <v>99.285479632063073</v>
      </c>
      <c r="H590" s="126">
        <f t="shared" si="196"/>
        <v>99.285479632063073</v>
      </c>
      <c r="I590" s="126">
        <f t="shared" si="197"/>
        <v>305.20070689219898</v>
      </c>
      <c r="J590" s="14">
        <v>396100</v>
      </c>
    </row>
    <row r="591" spans="1:10" x14ac:dyDescent="0.2">
      <c r="A591" s="156"/>
      <c r="B591" s="155" t="s">
        <v>185</v>
      </c>
      <c r="C591" s="126">
        <v>298000</v>
      </c>
      <c r="D591" s="126">
        <f>298000-12000-15000-10000</f>
        <v>261000</v>
      </c>
      <c r="E591" s="130">
        <v>0</v>
      </c>
      <c r="F591" s="130"/>
      <c r="G591" s="126">
        <f t="shared" si="195"/>
        <v>0</v>
      </c>
      <c r="H591" s="126">
        <f t="shared" si="196"/>
        <v>0</v>
      </c>
      <c r="I591" s="126">
        <f t="shared" si="197"/>
        <v>0</v>
      </c>
      <c r="J591" s="14">
        <v>120000</v>
      </c>
    </row>
    <row r="592" spans="1:10" x14ac:dyDescent="0.2">
      <c r="A592" s="156"/>
      <c r="B592" s="155" t="s">
        <v>184</v>
      </c>
      <c r="C592" s="126">
        <v>250000</v>
      </c>
      <c r="D592" s="126">
        <v>250000</v>
      </c>
      <c r="E592" s="130">
        <v>190000</v>
      </c>
      <c r="F592" s="130"/>
      <c r="G592" s="126">
        <f t="shared" si="195"/>
        <v>76</v>
      </c>
      <c r="H592" s="126">
        <f t="shared" si="196"/>
        <v>76</v>
      </c>
      <c r="I592" s="126">
        <f t="shared" si="197"/>
        <v>105.55555555555556</v>
      </c>
      <c r="J592" s="14">
        <v>180000</v>
      </c>
    </row>
    <row r="593" spans="1:10" x14ac:dyDescent="0.2">
      <c r="A593" s="124"/>
      <c r="B593" s="155" t="s">
        <v>183</v>
      </c>
      <c r="C593" s="126">
        <v>150000</v>
      </c>
      <c r="D593" s="126">
        <v>150000</v>
      </c>
      <c r="E593" s="126">
        <v>0</v>
      </c>
      <c r="F593" s="126"/>
      <c r="G593" s="126">
        <f t="shared" si="195"/>
        <v>0</v>
      </c>
      <c r="H593" s="126">
        <f t="shared" si="196"/>
        <v>0</v>
      </c>
      <c r="I593" s="126">
        <v>0</v>
      </c>
      <c r="J593" s="6">
        <v>0</v>
      </c>
    </row>
    <row r="594" spans="1:10" x14ac:dyDescent="0.2">
      <c r="A594" s="124"/>
      <c r="B594" s="154" t="s">
        <v>182</v>
      </c>
      <c r="C594" s="126">
        <v>0</v>
      </c>
      <c r="D594" s="126">
        <f>12000+15000+10000</f>
        <v>37000</v>
      </c>
      <c r="E594" s="130">
        <v>37000</v>
      </c>
      <c r="F594" s="130"/>
      <c r="G594" s="126">
        <v>0</v>
      </c>
      <c r="H594" s="126">
        <f t="shared" si="196"/>
        <v>100</v>
      </c>
      <c r="I594" s="126">
        <f t="shared" si="197"/>
        <v>84.090909090909093</v>
      </c>
      <c r="J594" s="14">
        <v>44000</v>
      </c>
    </row>
    <row r="595" spans="1:10" ht="13.5" thickBot="1" x14ac:dyDescent="0.25">
      <c r="A595" s="143"/>
      <c r="B595" s="153"/>
      <c r="C595" s="151"/>
      <c r="D595" s="151"/>
      <c r="E595" s="117"/>
      <c r="F595" s="117"/>
      <c r="G595" s="151"/>
      <c r="H595" s="151"/>
      <c r="I595" s="151"/>
      <c r="J595" s="14"/>
    </row>
    <row r="596" spans="1:10" ht="21" thickBot="1" x14ac:dyDescent="0.25">
      <c r="A596" s="143"/>
      <c r="B596" s="150" t="s">
        <v>181</v>
      </c>
      <c r="C596" s="242">
        <f>C597</f>
        <v>13505100</v>
      </c>
      <c r="D596" s="242">
        <f>D597</f>
        <v>20484366</v>
      </c>
      <c r="E596" s="181">
        <v>6044817.5700000003</v>
      </c>
      <c r="F596" s="710"/>
      <c r="G596" s="571">
        <f>E596/C596*100</f>
        <v>44.759517293466914</v>
      </c>
      <c r="H596" s="181">
        <f t="shared" si="196"/>
        <v>29.509419866838936</v>
      </c>
      <c r="I596" s="181">
        <f t="shared" si="197"/>
        <v>112.08381294183458</v>
      </c>
      <c r="J596" s="6">
        <v>5393122.71</v>
      </c>
    </row>
    <row r="597" spans="1:10" x14ac:dyDescent="0.2">
      <c r="A597" s="119">
        <v>4351</v>
      </c>
      <c r="B597" s="149" t="s">
        <v>180</v>
      </c>
      <c r="C597" s="148">
        <f>SUM(C598:C600)</f>
        <v>13505100</v>
      </c>
      <c r="D597" s="148">
        <f>SUM(D598:D600)</f>
        <v>20484366</v>
      </c>
      <c r="E597" s="120">
        <v>6044817.5700000003</v>
      </c>
      <c r="F597" s="126">
        <f>SUM(E598:E600)</f>
        <v>6044817.5699999994</v>
      </c>
      <c r="G597" s="120">
        <f t="shared" ref="G597:G600" si="198">E597/C597*100</f>
        <v>44.759517293466914</v>
      </c>
      <c r="H597" s="120">
        <f t="shared" si="196"/>
        <v>29.509419866838936</v>
      </c>
      <c r="I597" s="120">
        <f t="shared" si="197"/>
        <v>112.08381294183458</v>
      </c>
      <c r="J597" s="201">
        <v>5393122.71</v>
      </c>
    </row>
    <row r="598" spans="1:10" ht="60" x14ac:dyDescent="0.2">
      <c r="A598" s="132"/>
      <c r="B598" s="146" t="s">
        <v>179</v>
      </c>
      <c r="C598" s="145">
        <v>6835500</v>
      </c>
      <c r="D598" s="145">
        <f>6835500+(541000+2820000)+635148</f>
        <v>10831648</v>
      </c>
      <c r="E598" s="130">
        <v>2999655.76</v>
      </c>
      <c r="F598" s="130"/>
      <c r="G598" s="126">
        <f t="shared" si="198"/>
        <v>43.883487089459436</v>
      </c>
      <c r="H598" s="126">
        <f t="shared" si="196"/>
        <v>27.693438339207475</v>
      </c>
      <c r="I598" s="126">
        <f t="shared" si="197"/>
        <v>115.39304220356668</v>
      </c>
      <c r="J598" s="125">
        <v>2599511.81</v>
      </c>
    </row>
    <row r="599" spans="1:10" ht="48" x14ac:dyDescent="0.2">
      <c r="A599" s="132"/>
      <c r="B599" s="146" t="s">
        <v>178</v>
      </c>
      <c r="C599" s="147">
        <v>1739300</v>
      </c>
      <c r="D599" s="147">
        <f>1739300+(190000+550000)+164975</f>
        <v>2644275</v>
      </c>
      <c r="E599" s="130">
        <v>684923.55</v>
      </c>
      <c r="F599" s="130"/>
      <c r="G599" s="126">
        <f t="shared" si="198"/>
        <v>39.379264646696946</v>
      </c>
      <c r="H599" s="126">
        <f t="shared" si="196"/>
        <v>25.90213007346059</v>
      </c>
      <c r="I599" s="126">
        <f t="shared" si="197"/>
        <v>124.79741842758472</v>
      </c>
      <c r="J599" s="6">
        <v>548828.30000000005</v>
      </c>
    </row>
    <row r="600" spans="1:10" ht="36" x14ac:dyDescent="0.2">
      <c r="A600" s="124"/>
      <c r="B600" s="146" t="s">
        <v>177</v>
      </c>
      <c r="C600" s="145">
        <v>4930300</v>
      </c>
      <c r="D600" s="145">
        <f>4930300+1483000+595143</f>
        <v>7008443</v>
      </c>
      <c r="E600" s="130">
        <v>2360238.2599999998</v>
      </c>
      <c r="F600" s="130"/>
      <c r="G600" s="126">
        <f t="shared" si="198"/>
        <v>47.872102306147696</v>
      </c>
      <c r="H600" s="126">
        <f t="shared" si="196"/>
        <v>33.677070071055724</v>
      </c>
      <c r="I600" s="126">
        <f t="shared" si="197"/>
        <v>105.14328915414792</v>
      </c>
      <c r="J600" s="6">
        <v>2244782.6</v>
      </c>
    </row>
    <row r="601" spans="1:10" ht="13.5" thickBot="1" x14ac:dyDescent="0.25">
      <c r="A601" s="143"/>
      <c r="B601" s="142"/>
      <c r="C601" s="141"/>
      <c r="D601" s="141"/>
      <c r="E601" s="134"/>
      <c r="F601" s="117"/>
      <c r="G601" s="486"/>
      <c r="H601" s="486"/>
      <c r="I601" s="486"/>
      <c r="J601" s="14"/>
    </row>
    <row r="602" spans="1:10" ht="21" thickBot="1" x14ac:dyDescent="0.35">
      <c r="A602" s="140"/>
      <c r="B602" s="139" t="s">
        <v>176</v>
      </c>
      <c r="C602" s="242">
        <f>SUM(C603:C611,C615:C618,C623,C624)</f>
        <v>58483000</v>
      </c>
      <c r="D602" s="242">
        <f>SUM(D603:D611,D615:D618,D623,D624)</f>
        <v>59095350</v>
      </c>
      <c r="E602" s="181">
        <v>21578005.460000001</v>
      </c>
      <c r="F602" s="317">
        <f>SUM(E603:E611,E615:E618,E623)</f>
        <v>21578005.460000001</v>
      </c>
      <c r="G602" s="571">
        <f>E602/C602*100</f>
        <v>36.896201391857467</v>
      </c>
      <c r="H602" s="181">
        <f t="shared" si="196"/>
        <v>36.513880466060364</v>
      </c>
      <c r="I602" s="181">
        <f t="shared" si="197"/>
        <v>109.25044846201595</v>
      </c>
      <c r="J602" s="14">
        <v>19750953.670000002</v>
      </c>
    </row>
    <row r="603" spans="1:10" x14ac:dyDescent="0.2">
      <c r="A603" s="138">
        <v>1014</v>
      </c>
      <c r="B603" s="137" t="s">
        <v>175</v>
      </c>
      <c r="C603" s="120">
        <v>770000</v>
      </c>
      <c r="D603" s="120">
        <v>770000</v>
      </c>
      <c r="E603" s="553">
        <v>97145</v>
      </c>
      <c r="F603" s="714"/>
      <c r="G603" s="120">
        <f t="shared" ref="G603:G623" si="199">E603/C603*100</f>
        <v>12.616233766233767</v>
      </c>
      <c r="H603" s="120">
        <f t="shared" si="196"/>
        <v>12.616233766233767</v>
      </c>
      <c r="I603" s="120">
        <f t="shared" si="197"/>
        <v>79.312399986937066</v>
      </c>
      <c r="J603" s="14">
        <v>122484</v>
      </c>
    </row>
    <row r="604" spans="1:10" x14ac:dyDescent="0.2">
      <c r="A604" s="124">
        <v>1031</v>
      </c>
      <c r="B604" s="123" t="s">
        <v>174</v>
      </c>
      <c r="C604" s="120">
        <v>436000</v>
      </c>
      <c r="D604" s="120">
        <v>436000</v>
      </c>
      <c r="E604" s="121">
        <v>131304.66</v>
      </c>
      <c r="F604" s="130"/>
      <c r="G604" s="120">
        <f t="shared" si="199"/>
        <v>30.11574770642202</v>
      </c>
      <c r="H604" s="120">
        <f t="shared" si="196"/>
        <v>30.11574770642202</v>
      </c>
      <c r="I604" s="120">
        <f t="shared" si="197"/>
        <v>159.90143212041502</v>
      </c>
      <c r="J604" s="14">
        <v>82116</v>
      </c>
    </row>
    <row r="605" spans="1:10" x14ac:dyDescent="0.2">
      <c r="A605" s="124">
        <v>1036</v>
      </c>
      <c r="B605" s="123" t="s">
        <v>173</v>
      </c>
      <c r="C605" s="120">
        <v>100000</v>
      </c>
      <c r="D605" s="120">
        <v>100000</v>
      </c>
      <c r="E605" s="121">
        <v>40492</v>
      </c>
      <c r="F605" s="130"/>
      <c r="G605" s="120">
        <f t="shared" si="199"/>
        <v>40.491999999999997</v>
      </c>
      <c r="H605" s="120">
        <f t="shared" si="196"/>
        <v>40.491999999999997</v>
      </c>
      <c r="I605" s="120">
        <f t="shared" si="197"/>
        <v>100</v>
      </c>
      <c r="J605" s="14">
        <v>40492</v>
      </c>
    </row>
    <row r="606" spans="1:10" s="17" customFormat="1" ht="15.75" x14ac:dyDescent="0.25">
      <c r="A606" s="124">
        <v>1037</v>
      </c>
      <c r="B606" s="123" t="s">
        <v>172</v>
      </c>
      <c r="C606" s="120">
        <v>20000</v>
      </c>
      <c r="D606" s="120">
        <v>20000</v>
      </c>
      <c r="E606" s="540">
        <v>3910</v>
      </c>
      <c r="F606" s="487"/>
      <c r="G606" s="120">
        <f t="shared" si="199"/>
        <v>19.55</v>
      </c>
      <c r="H606" s="120">
        <f t="shared" si="196"/>
        <v>19.55</v>
      </c>
      <c r="I606" s="120">
        <f t="shared" si="197"/>
        <v>38.18120742453597</v>
      </c>
      <c r="J606" s="14">
        <v>10240.64</v>
      </c>
    </row>
    <row r="607" spans="1:10" s="3" customFormat="1" x14ac:dyDescent="0.2">
      <c r="A607" s="124">
        <v>1039</v>
      </c>
      <c r="B607" s="123" t="s">
        <v>171</v>
      </c>
      <c r="C607" s="120">
        <v>200000</v>
      </c>
      <c r="D607" s="120">
        <v>200000</v>
      </c>
      <c r="E607" s="121">
        <v>0</v>
      </c>
      <c r="F607" s="2"/>
      <c r="G607" s="120">
        <f t="shared" si="199"/>
        <v>0</v>
      </c>
      <c r="H607" s="120">
        <f t="shared" si="196"/>
        <v>0</v>
      </c>
      <c r="I607" s="120">
        <v>0</v>
      </c>
      <c r="J607" s="14">
        <v>0</v>
      </c>
    </row>
    <row r="608" spans="1:10" s="3" customFormat="1" x14ac:dyDescent="0.2">
      <c r="A608" s="124">
        <v>2369</v>
      </c>
      <c r="B608" s="123" t="s">
        <v>170</v>
      </c>
      <c r="C608" s="120">
        <v>370000</v>
      </c>
      <c r="D608" s="120">
        <v>370000</v>
      </c>
      <c r="E608" s="121">
        <v>0</v>
      </c>
      <c r="F608" s="10"/>
      <c r="G608" s="120">
        <f t="shared" si="199"/>
        <v>0</v>
      </c>
      <c r="H608" s="120">
        <f t="shared" si="196"/>
        <v>0</v>
      </c>
      <c r="I608" s="120">
        <f t="shared" si="197"/>
        <v>0</v>
      </c>
      <c r="J608" s="14">
        <v>400</v>
      </c>
    </row>
    <row r="609" spans="1:246" customFormat="1" ht="12.75" customHeight="1" x14ac:dyDescent="0.2">
      <c r="A609" s="71">
        <v>3639</v>
      </c>
      <c r="B609" s="58" t="s">
        <v>925</v>
      </c>
      <c r="C609" s="63">
        <v>0</v>
      </c>
      <c r="D609" s="63">
        <v>84350</v>
      </c>
      <c r="E609" s="549">
        <v>84350</v>
      </c>
      <c r="F609" s="496"/>
      <c r="G609" s="120">
        <v>0</v>
      </c>
      <c r="H609" s="121">
        <f>E609/D609*100</f>
        <v>100</v>
      </c>
      <c r="I609" s="121">
        <f t="shared" ref="I609" si="200">E609/J609*100</f>
        <v>9.3632154331898558</v>
      </c>
      <c r="J609" s="14">
        <v>900865.74</v>
      </c>
    </row>
    <row r="610" spans="1:246" s="3" customFormat="1" x14ac:dyDescent="0.2">
      <c r="A610" s="124">
        <v>3721</v>
      </c>
      <c r="B610" s="123" t="s">
        <v>169</v>
      </c>
      <c r="C610" s="120">
        <v>50000</v>
      </c>
      <c r="D610" s="120">
        <v>50000</v>
      </c>
      <c r="E610" s="121">
        <v>25200</v>
      </c>
      <c r="F610" s="130"/>
      <c r="G610" s="120">
        <f t="shared" si="199"/>
        <v>50.4</v>
      </c>
      <c r="H610" s="120">
        <f t="shared" si="196"/>
        <v>50.4</v>
      </c>
      <c r="I610" s="120">
        <f t="shared" si="197"/>
        <v>100</v>
      </c>
      <c r="J610" s="14">
        <v>25200</v>
      </c>
    </row>
    <row r="611" spans="1:246" s="3" customFormat="1" x14ac:dyDescent="0.2">
      <c r="A611" s="124">
        <v>3722</v>
      </c>
      <c r="B611" s="123" t="s">
        <v>168</v>
      </c>
      <c r="C611" s="122">
        <f>SUM(C612:C614)</f>
        <v>27100000</v>
      </c>
      <c r="D611" s="122">
        <f>SUM(D612:D614)</f>
        <v>27220100</v>
      </c>
      <c r="E611" s="18">
        <v>12773719</v>
      </c>
      <c r="F611" s="10">
        <f>SUM(E612:E614)</f>
        <v>12773719</v>
      </c>
      <c r="G611" s="120">
        <f t="shared" si="199"/>
        <v>47.135494464944649</v>
      </c>
      <c r="H611" s="120">
        <f t="shared" si="196"/>
        <v>46.927524145759932</v>
      </c>
      <c r="I611" s="120">
        <f t="shared" si="197"/>
        <v>117.99072606853336</v>
      </c>
      <c r="J611" s="6">
        <v>10826036.439999999</v>
      </c>
    </row>
    <row r="612" spans="1:246" s="3" customFormat="1" x14ac:dyDescent="0.2">
      <c r="A612" s="124"/>
      <c r="B612" s="131" t="s">
        <v>167</v>
      </c>
      <c r="C612" s="126">
        <v>24500000</v>
      </c>
      <c r="D612" s="126">
        <f>24500000+120100</f>
        <v>24620100</v>
      </c>
      <c r="E612" s="130">
        <v>12370096</v>
      </c>
      <c r="F612" s="130"/>
      <c r="G612" s="126">
        <f t="shared" si="199"/>
        <v>50.490187755102042</v>
      </c>
      <c r="H612" s="126">
        <f t="shared" si="196"/>
        <v>50.243890154792226</v>
      </c>
      <c r="I612" s="126">
        <f t="shared" si="197"/>
        <v>118.06343116201383</v>
      </c>
      <c r="J612" s="14">
        <v>10477500</v>
      </c>
    </row>
    <row r="613" spans="1:246" s="3" customFormat="1" x14ac:dyDescent="0.2">
      <c r="A613" s="124"/>
      <c r="B613" s="131" t="s">
        <v>166</v>
      </c>
      <c r="C613" s="126">
        <f>2140000+100000</f>
        <v>2240000</v>
      </c>
      <c r="D613" s="126">
        <f>2140000+100000</f>
        <v>2240000</v>
      </c>
      <c r="E613" s="130">
        <v>403623</v>
      </c>
      <c r="F613" s="130"/>
      <c r="G613" s="126">
        <f t="shared" si="199"/>
        <v>18.018883928571427</v>
      </c>
      <c r="H613" s="126">
        <f t="shared" si="196"/>
        <v>18.018883928571427</v>
      </c>
      <c r="I613" s="126">
        <f t="shared" si="197"/>
        <v>115.8051077815565</v>
      </c>
      <c r="J613" s="14">
        <v>348536.44</v>
      </c>
    </row>
    <row r="614" spans="1:246" s="3" customFormat="1" x14ac:dyDescent="0.2">
      <c r="A614" s="124"/>
      <c r="B614" s="128" t="s">
        <v>165</v>
      </c>
      <c r="C614" s="126">
        <v>360000</v>
      </c>
      <c r="D614" s="126">
        <v>360000</v>
      </c>
      <c r="E614" s="130">
        <v>0</v>
      </c>
      <c r="F614" s="499"/>
      <c r="G614" s="126">
        <f t="shared" si="199"/>
        <v>0</v>
      </c>
      <c r="H614" s="126">
        <f t="shared" si="196"/>
        <v>0</v>
      </c>
      <c r="I614" s="126">
        <v>0</v>
      </c>
      <c r="J614" s="14">
        <v>0</v>
      </c>
    </row>
    <row r="615" spans="1:246" s="3" customFormat="1" x14ac:dyDescent="0.2">
      <c r="A615" s="124">
        <v>3733</v>
      </c>
      <c r="B615" s="123" t="s">
        <v>164</v>
      </c>
      <c r="C615" s="120">
        <v>65000</v>
      </c>
      <c r="D615" s="120">
        <v>65000</v>
      </c>
      <c r="E615" s="121">
        <v>0</v>
      </c>
      <c r="F615" s="2"/>
      <c r="G615" s="120">
        <f t="shared" si="199"/>
        <v>0</v>
      </c>
      <c r="H615" s="120">
        <f t="shared" si="196"/>
        <v>0</v>
      </c>
      <c r="I615" s="120">
        <v>0</v>
      </c>
      <c r="J615" s="14">
        <v>0</v>
      </c>
    </row>
    <row r="616" spans="1:246" s="3" customFormat="1" x14ac:dyDescent="0.2">
      <c r="A616" s="124">
        <v>3742</v>
      </c>
      <c r="B616" s="135" t="s">
        <v>163</v>
      </c>
      <c r="C616" s="120">
        <v>100000</v>
      </c>
      <c r="D616" s="120">
        <v>100000</v>
      </c>
      <c r="E616" s="121">
        <v>0</v>
      </c>
      <c r="F616" s="130"/>
      <c r="G616" s="120">
        <f t="shared" si="199"/>
        <v>0</v>
      </c>
      <c r="H616" s="120">
        <f t="shared" si="196"/>
        <v>0</v>
      </c>
      <c r="I616" s="120">
        <v>0</v>
      </c>
      <c r="J616" s="14">
        <v>0</v>
      </c>
    </row>
    <row r="617" spans="1:246" s="3" customFormat="1" x14ac:dyDescent="0.2">
      <c r="A617" s="124">
        <v>3743</v>
      </c>
      <c r="B617" s="123" t="s">
        <v>162</v>
      </c>
      <c r="C617" s="120">
        <v>2000</v>
      </c>
      <c r="D617" s="120">
        <v>2000</v>
      </c>
      <c r="E617" s="121">
        <v>0</v>
      </c>
      <c r="F617" s="130"/>
      <c r="G617" s="120">
        <f t="shared" si="199"/>
        <v>0</v>
      </c>
      <c r="H617" s="120">
        <f t="shared" si="196"/>
        <v>0</v>
      </c>
      <c r="I617" s="120">
        <v>0</v>
      </c>
      <c r="J617" s="14">
        <v>0</v>
      </c>
    </row>
    <row r="618" spans="1:246" s="3" customFormat="1" x14ac:dyDescent="0.2">
      <c r="A618" s="124">
        <v>3745</v>
      </c>
      <c r="B618" s="123" t="s">
        <v>161</v>
      </c>
      <c r="C618" s="122">
        <f>SUM(C619:C622)</f>
        <v>29115000</v>
      </c>
      <c r="D618" s="122">
        <f>SUM(D619:D622)</f>
        <v>29222900</v>
      </c>
      <c r="E618" s="121">
        <v>8413538.8000000007</v>
      </c>
      <c r="F618" s="130">
        <f>SUM(E619:E622)</f>
        <v>8413538.8000000007</v>
      </c>
      <c r="G618" s="120">
        <f t="shared" si="199"/>
        <v>28.897608792718533</v>
      </c>
      <c r="H618" s="120">
        <f t="shared" si="196"/>
        <v>28.790909868630425</v>
      </c>
      <c r="I618" s="120">
        <f t="shared" si="197"/>
        <v>97.440965590568254</v>
      </c>
      <c r="J618" s="14">
        <v>8634498.5899999999</v>
      </c>
    </row>
    <row r="619" spans="1:246" s="3" customFormat="1" x14ac:dyDescent="0.2">
      <c r="A619" s="124"/>
      <c r="B619" s="131" t="s">
        <v>160</v>
      </c>
      <c r="C619" s="126">
        <v>150000</v>
      </c>
      <c r="D619" s="126">
        <v>150000</v>
      </c>
      <c r="E619" s="127">
        <v>0</v>
      </c>
      <c r="F619" s="127"/>
      <c r="G619" s="126">
        <f t="shared" si="199"/>
        <v>0</v>
      </c>
      <c r="H619" s="126">
        <f>E619/D619*100</f>
        <v>0</v>
      </c>
      <c r="I619" s="126">
        <v>0</v>
      </c>
      <c r="J619" s="14">
        <v>0</v>
      </c>
    </row>
    <row r="620" spans="1:246" s="3" customFormat="1" x14ac:dyDescent="0.2">
      <c r="A620" s="132"/>
      <c r="B620" s="131" t="s">
        <v>159</v>
      </c>
      <c r="C620" s="126">
        <v>16000000</v>
      </c>
      <c r="D620" s="126">
        <f>16000000+234740+107900</f>
        <v>16342640</v>
      </c>
      <c r="E620" s="130">
        <v>8342638</v>
      </c>
      <c r="F620" s="130"/>
      <c r="G620" s="126">
        <f t="shared" si="199"/>
        <v>52.141487500000004</v>
      </c>
      <c r="H620" s="126">
        <f>E620/D620*100</f>
        <v>51.04828840383194</v>
      </c>
      <c r="I620" s="126">
        <f>E620/J620*100</f>
        <v>114.12640605373628</v>
      </c>
      <c r="J620" s="6">
        <v>7309998</v>
      </c>
    </row>
    <row r="621" spans="1:246" s="3" customFormat="1" x14ac:dyDescent="0.2">
      <c r="A621" s="132"/>
      <c r="B621" s="131" t="s">
        <v>158</v>
      </c>
      <c r="C621" s="126">
        <v>3200000</v>
      </c>
      <c r="D621" s="126">
        <v>3200000</v>
      </c>
      <c r="E621" s="130">
        <v>70900.800000000003</v>
      </c>
      <c r="F621" s="130"/>
      <c r="G621" s="126">
        <f t="shared" si="199"/>
        <v>2.2156500000000001</v>
      </c>
      <c r="H621" s="126">
        <f>E621/D621*100</f>
        <v>2.2156500000000001</v>
      </c>
      <c r="I621" s="126">
        <f>E621/J621*100</f>
        <v>18.112786923808795</v>
      </c>
      <c r="J621" s="6">
        <v>391440.59</v>
      </c>
    </row>
    <row r="622" spans="1:246" s="3" customFormat="1" ht="25.5" x14ac:dyDescent="0.2">
      <c r="A622" s="124"/>
      <c r="B622" s="128" t="s">
        <v>979</v>
      </c>
      <c r="C622" s="126">
        <f>9285000+480000</f>
        <v>9765000</v>
      </c>
      <c r="D622" s="126">
        <f>(9285000+480000)-234740</f>
        <v>9530260</v>
      </c>
      <c r="E622" s="130">
        <v>0</v>
      </c>
      <c r="F622" s="130"/>
      <c r="G622" s="126">
        <f t="shared" si="199"/>
        <v>0</v>
      </c>
      <c r="H622" s="126">
        <f>E622/D622*100</f>
        <v>0</v>
      </c>
      <c r="I622" s="126">
        <f>E622/J622*100</f>
        <v>0</v>
      </c>
      <c r="J622" s="6">
        <v>933060</v>
      </c>
    </row>
    <row r="623" spans="1:246" ht="13.5" thickBot="1" x14ac:dyDescent="0.25">
      <c r="A623" s="124">
        <v>3792</v>
      </c>
      <c r="B623" s="123" t="s">
        <v>156</v>
      </c>
      <c r="C623" s="120">
        <v>155000</v>
      </c>
      <c r="D623" s="120">
        <v>155000</v>
      </c>
      <c r="E623" s="121">
        <v>8346</v>
      </c>
      <c r="F623" s="130"/>
      <c r="G623" s="120">
        <f t="shared" si="199"/>
        <v>5.3845161290322583</v>
      </c>
      <c r="H623" s="120">
        <f t="shared" ref="H623:H655" si="201">E623/D623*100</f>
        <v>5.3845161290322583</v>
      </c>
      <c r="I623" s="120">
        <f t="shared" ref="I623:I655" si="202">E623/J623*100</f>
        <v>87.982289690069578</v>
      </c>
      <c r="J623" s="14">
        <v>9486</v>
      </c>
    </row>
    <row r="624" spans="1:246" s="3" customFormat="1" ht="16.5" thickBot="1" x14ac:dyDescent="0.3">
      <c r="A624" s="45"/>
      <c r="B624" s="44" t="s">
        <v>914</v>
      </c>
      <c r="C624" s="43">
        <f>SUM(C625:C626)</f>
        <v>0</v>
      </c>
      <c r="D624" s="43">
        <f>SUM(D625:D626)</f>
        <v>300000</v>
      </c>
      <c r="E624" s="479">
        <v>0</v>
      </c>
      <c r="F624" s="536"/>
      <c r="G624" s="479">
        <v>0</v>
      </c>
      <c r="H624" s="479">
        <f t="shared" si="201"/>
        <v>0</v>
      </c>
      <c r="I624" s="479">
        <v>0</v>
      </c>
      <c r="J624" s="6">
        <v>0</v>
      </c>
      <c r="K624" s="41"/>
      <c r="L624" s="41"/>
      <c r="M624" s="41"/>
      <c r="N624" s="41"/>
      <c r="O624" s="41"/>
      <c r="P624" s="41"/>
      <c r="Q624" s="41"/>
      <c r="R624" s="41"/>
      <c r="S624" s="41"/>
      <c r="T624" s="41"/>
      <c r="U624" s="41"/>
      <c r="V624" s="41"/>
      <c r="W624" s="41"/>
      <c r="X624" s="41"/>
      <c r="Y624" s="41"/>
      <c r="Z624" s="41"/>
      <c r="AA624" s="41"/>
      <c r="AB624" s="41"/>
      <c r="AC624" s="41"/>
      <c r="AD624" s="41"/>
      <c r="AE624" s="41"/>
      <c r="AF624" s="41"/>
      <c r="AG624" s="41"/>
      <c r="AH624" s="41"/>
      <c r="AI624" s="41"/>
      <c r="AJ624" s="41"/>
      <c r="AK624" s="41"/>
      <c r="AL624" s="41"/>
      <c r="AM624" s="41"/>
      <c r="AN624" s="41"/>
      <c r="AO624" s="41"/>
      <c r="AP624" s="41"/>
      <c r="AQ624" s="41"/>
      <c r="AR624" s="41"/>
      <c r="AS624" s="41"/>
      <c r="AT624" s="41"/>
      <c r="AU624" s="41"/>
      <c r="AV624" s="41"/>
      <c r="AW624" s="41"/>
      <c r="AX624" s="41"/>
      <c r="AY624" s="41"/>
      <c r="AZ624" s="41"/>
      <c r="BA624" s="41"/>
      <c r="BB624" s="41"/>
      <c r="BC624" s="41"/>
      <c r="BD624" s="41"/>
      <c r="BE624" s="41"/>
      <c r="BF624" s="41"/>
      <c r="BG624" s="41"/>
      <c r="BH624" s="41"/>
      <c r="BI624" s="41"/>
      <c r="BJ624" s="41"/>
      <c r="BK624" s="41"/>
      <c r="BL624" s="41"/>
      <c r="BM624" s="41"/>
      <c r="BN624" s="41"/>
      <c r="BO624" s="41"/>
      <c r="BP624" s="41"/>
      <c r="BQ624" s="41"/>
      <c r="BR624" s="41"/>
      <c r="BS624" s="41"/>
      <c r="BT624" s="41"/>
      <c r="BU624" s="41"/>
      <c r="BV624" s="41"/>
      <c r="BW624" s="41"/>
      <c r="BX624" s="41"/>
      <c r="BY624" s="41"/>
      <c r="BZ624" s="41"/>
      <c r="CA624" s="41"/>
      <c r="CB624" s="41"/>
      <c r="CC624" s="41"/>
      <c r="CD624" s="41"/>
      <c r="CE624" s="41"/>
      <c r="CF624" s="41"/>
      <c r="CG624" s="41"/>
      <c r="CH624" s="41"/>
      <c r="CI624" s="41"/>
      <c r="CJ624" s="41"/>
      <c r="CK624" s="41"/>
      <c r="CL624" s="41"/>
      <c r="CM624" s="41"/>
      <c r="CN624" s="41"/>
      <c r="CO624" s="41"/>
      <c r="CP624" s="41"/>
      <c r="CQ624" s="41"/>
      <c r="CR624" s="41"/>
      <c r="CS624" s="41"/>
      <c r="CT624" s="41"/>
      <c r="CU624" s="41"/>
      <c r="CV624" s="41"/>
      <c r="CW624" s="41"/>
      <c r="CX624" s="41"/>
      <c r="CY624" s="41"/>
      <c r="CZ624" s="41"/>
      <c r="DA624" s="41"/>
      <c r="DB624" s="41"/>
      <c r="DC624" s="41"/>
      <c r="DD624" s="41"/>
      <c r="DE624" s="41"/>
      <c r="DF624" s="41"/>
      <c r="DG624" s="41"/>
      <c r="DH624" s="41"/>
      <c r="DI624" s="41"/>
      <c r="DJ624" s="41"/>
      <c r="DK624" s="41"/>
      <c r="DL624" s="41"/>
      <c r="DM624" s="41"/>
      <c r="DN624" s="41"/>
      <c r="DO624" s="41"/>
      <c r="DP624" s="41"/>
      <c r="DQ624" s="41"/>
      <c r="DR624" s="41"/>
      <c r="DS624" s="41"/>
      <c r="DT624" s="41"/>
      <c r="DU624" s="41"/>
      <c r="DV624" s="41"/>
      <c r="DW624" s="41"/>
      <c r="DX624" s="41"/>
      <c r="DY624" s="41"/>
      <c r="DZ624" s="41"/>
      <c r="EA624" s="41"/>
      <c r="EB624" s="41"/>
      <c r="EC624" s="41"/>
      <c r="ED624" s="41"/>
      <c r="EE624" s="41"/>
      <c r="EF624" s="41"/>
      <c r="EG624" s="41"/>
      <c r="EH624" s="41"/>
      <c r="EI624" s="41"/>
      <c r="EJ624" s="41"/>
      <c r="EK624" s="41"/>
      <c r="EL624" s="41"/>
      <c r="EM624" s="41"/>
      <c r="EN624" s="41"/>
      <c r="EO624" s="41"/>
      <c r="EP624" s="41"/>
      <c r="EQ624" s="41"/>
      <c r="ER624" s="41"/>
      <c r="ES624" s="41"/>
      <c r="ET624" s="41"/>
      <c r="EU624" s="41"/>
      <c r="EV624" s="41"/>
      <c r="EW624" s="41"/>
      <c r="EX624" s="41"/>
      <c r="EY624" s="41"/>
      <c r="EZ624" s="41"/>
      <c r="FA624" s="41"/>
      <c r="FB624" s="41"/>
      <c r="FC624" s="41"/>
      <c r="FD624" s="41"/>
      <c r="FE624" s="41"/>
      <c r="FF624" s="41"/>
      <c r="FG624" s="41"/>
      <c r="FH624" s="41"/>
      <c r="FI624" s="41"/>
      <c r="FJ624" s="41"/>
      <c r="FK624" s="41"/>
      <c r="FL624" s="41"/>
      <c r="FM624" s="41"/>
      <c r="FN624" s="41"/>
      <c r="FO624" s="41"/>
      <c r="FP624" s="41"/>
      <c r="FQ624" s="41"/>
      <c r="FR624" s="41"/>
      <c r="FS624" s="41"/>
      <c r="FT624" s="41"/>
      <c r="FU624" s="41"/>
      <c r="FV624" s="41"/>
      <c r="FW624" s="41"/>
      <c r="FX624" s="41"/>
      <c r="FY624" s="41"/>
      <c r="FZ624" s="41"/>
      <c r="GA624" s="41"/>
      <c r="GB624" s="41"/>
      <c r="GC624" s="41"/>
      <c r="GD624" s="41"/>
      <c r="GE624" s="41"/>
      <c r="GF624" s="41"/>
      <c r="GG624" s="41"/>
      <c r="GH624" s="41"/>
      <c r="GI624" s="41"/>
      <c r="GJ624" s="41"/>
      <c r="GK624" s="41"/>
      <c r="GL624" s="41"/>
      <c r="GM624" s="41"/>
      <c r="GN624" s="41"/>
      <c r="GO624" s="41"/>
      <c r="GP624" s="41"/>
      <c r="GQ624" s="41"/>
      <c r="GR624" s="41"/>
      <c r="GS624" s="41"/>
      <c r="GT624" s="41"/>
      <c r="GU624" s="41"/>
      <c r="GV624" s="41"/>
      <c r="GW624" s="41"/>
      <c r="GX624" s="41"/>
      <c r="GY624" s="41"/>
      <c r="GZ624" s="41"/>
      <c r="HA624" s="41"/>
      <c r="HB624" s="41"/>
      <c r="HC624" s="41"/>
      <c r="HD624" s="41"/>
      <c r="HE624" s="41"/>
      <c r="HF624" s="41"/>
      <c r="HG624" s="41"/>
      <c r="HH624" s="41"/>
      <c r="HI624" s="41"/>
      <c r="HJ624" s="41"/>
      <c r="HK624" s="41"/>
      <c r="HL624" s="41"/>
      <c r="HM624" s="41"/>
      <c r="HN624" s="41"/>
      <c r="HO624" s="41"/>
      <c r="HP624" s="41"/>
      <c r="HQ624" s="41"/>
      <c r="HR624" s="41"/>
      <c r="HS624" s="41"/>
      <c r="HT624" s="41"/>
      <c r="HU624" s="41"/>
      <c r="HV624" s="41"/>
      <c r="HW624" s="41"/>
      <c r="HX624" s="41"/>
      <c r="HY624" s="41"/>
      <c r="HZ624" s="41"/>
      <c r="IA624" s="41"/>
      <c r="IB624" s="41"/>
      <c r="IC624" s="41"/>
      <c r="ID624" s="41"/>
      <c r="IE624" s="41"/>
      <c r="IF624" s="41"/>
      <c r="IG624" s="41"/>
      <c r="IH624" s="41"/>
      <c r="II624" s="41"/>
      <c r="IJ624" s="41"/>
      <c r="IK624" s="41"/>
      <c r="IL624" s="41"/>
    </row>
    <row r="625" spans="1:10" x14ac:dyDescent="0.2">
      <c r="A625" s="264" t="s">
        <v>915</v>
      </c>
      <c r="B625" s="263" t="s">
        <v>917</v>
      </c>
      <c r="C625" s="262">
        <v>0</v>
      </c>
      <c r="D625" s="262">
        <v>150000</v>
      </c>
      <c r="E625" s="492">
        <v>0</v>
      </c>
      <c r="F625" s="9"/>
      <c r="G625" s="126">
        <v>0</v>
      </c>
      <c r="H625" s="126">
        <f t="shared" si="201"/>
        <v>0</v>
      </c>
      <c r="I625" s="126">
        <v>0</v>
      </c>
      <c r="J625" s="14">
        <v>0</v>
      </c>
    </row>
    <row r="626" spans="1:10" x14ac:dyDescent="0.2">
      <c r="A626" s="261" t="s">
        <v>916</v>
      </c>
      <c r="B626" s="260" t="s">
        <v>918</v>
      </c>
      <c r="C626" s="259">
        <v>0</v>
      </c>
      <c r="D626" s="259">
        <v>150000</v>
      </c>
      <c r="E626" s="10">
        <v>0</v>
      </c>
      <c r="F626" s="10"/>
      <c r="G626" s="126">
        <v>0</v>
      </c>
      <c r="H626" s="126">
        <f t="shared" si="201"/>
        <v>0</v>
      </c>
      <c r="I626" s="126">
        <v>0</v>
      </c>
      <c r="J626" s="14">
        <v>0</v>
      </c>
    </row>
    <row r="627" spans="1:10" ht="13.5" thickBot="1" x14ac:dyDescent="0.25">
      <c r="A627" s="119"/>
      <c r="B627" s="118"/>
      <c r="C627" s="117"/>
      <c r="D627" s="117"/>
      <c r="E627" s="134"/>
      <c r="F627" s="117"/>
      <c r="G627" s="486"/>
      <c r="H627" s="486"/>
      <c r="I627" s="486"/>
      <c r="J627" s="14"/>
    </row>
    <row r="628" spans="1:10" customFormat="1" ht="21" thickBot="1" x14ac:dyDescent="0.25">
      <c r="A628" s="116"/>
      <c r="B628" s="115" t="s">
        <v>155</v>
      </c>
      <c r="C628" s="114">
        <f>SUM(C629,C630,C654,C688,C741,C757,C758,C762)</f>
        <v>224822000</v>
      </c>
      <c r="D628" s="114">
        <f>SUM(D629,D630,D654,D688,D741,D757,D758,D762)</f>
        <v>222087754.03</v>
      </c>
      <c r="E628" s="181">
        <v>40058367.969999999</v>
      </c>
      <c r="F628" s="317">
        <f>SUM(E629:E630,E654,E688,E741,E757:E758,E762)</f>
        <v>40058367.969999999</v>
      </c>
      <c r="G628" s="571">
        <f>E628/C628*100</f>
        <v>17.817814969175615</v>
      </c>
      <c r="H628" s="181">
        <f t="shared" si="201"/>
        <v>18.037180007948052</v>
      </c>
      <c r="I628" s="181">
        <f t="shared" ref="I628" si="203">E628/J628*100</f>
        <v>68.561387606068919</v>
      </c>
      <c r="J628" s="6">
        <v>58427008.799999997</v>
      </c>
    </row>
    <row r="629" spans="1:10" customFormat="1" ht="12.75" customHeight="1" x14ac:dyDescent="0.2">
      <c r="A629" s="113">
        <v>3122</v>
      </c>
      <c r="B629" s="112" t="s">
        <v>154</v>
      </c>
      <c r="C629" s="111">
        <v>376000</v>
      </c>
      <c r="D629" s="111">
        <v>376000</v>
      </c>
      <c r="E629" s="120">
        <v>277560</v>
      </c>
      <c r="F629" s="126"/>
      <c r="G629" s="120">
        <f t="shared" ref="G629:G677" si="204">E629/C629*100</f>
        <v>73.819148936170208</v>
      </c>
      <c r="H629" s="120">
        <f t="shared" si="201"/>
        <v>73.819148936170208</v>
      </c>
      <c r="I629" s="120">
        <f t="shared" si="202"/>
        <v>100.91623036649216</v>
      </c>
      <c r="J629" s="14">
        <v>275040</v>
      </c>
    </row>
    <row r="630" spans="1:10" customFormat="1" ht="12.75" customHeight="1" x14ac:dyDescent="0.2">
      <c r="A630" s="59">
        <v>3412</v>
      </c>
      <c r="B630" s="91" t="s">
        <v>153</v>
      </c>
      <c r="C630" s="57">
        <f>C631+C644</f>
        <v>38471000</v>
      </c>
      <c r="D630" s="57">
        <f>D631+D644</f>
        <v>32979000</v>
      </c>
      <c r="E630" s="121">
        <v>15247353.720000001</v>
      </c>
      <c r="F630" s="130">
        <f>SUM(E631,E644)</f>
        <v>15247353.720000001</v>
      </c>
      <c r="G630" s="120">
        <f t="shared" si="204"/>
        <v>39.633369863013698</v>
      </c>
      <c r="H630" s="120">
        <f t="shared" si="201"/>
        <v>46.23352351496407</v>
      </c>
      <c r="I630" s="120">
        <f t="shared" si="202"/>
        <v>50.200907225736799</v>
      </c>
      <c r="J630" s="14">
        <v>30372665.68</v>
      </c>
    </row>
    <row r="631" spans="1:10" customFormat="1" ht="12.75" customHeight="1" x14ac:dyDescent="0.2">
      <c r="A631" s="59"/>
      <c r="B631" s="110" t="s">
        <v>152</v>
      </c>
      <c r="C631" s="57">
        <f>C632+C635+C640</f>
        <v>25637000</v>
      </c>
      <c r="D631" s="57">
        <f>D632+D635+D640</f>
        <v>22895000</v>
      </c>
      <c r="E631" s="121">
        <v>12178600</v>
      </c>
      <c r="F631" s="130">
        <f>SUM(E632,E635,E640)</f>
        <v>12178600</v>
      </c>
      <c r="G631" s="120">
        <f t="shared" si="204"/>
        <v>47.503998127706048</v>
      </c>
      <c r="H631" s="120">
        <f t="shared" si="201"/>
        <v>53.193273640532865</v>
      </c>
      <c r="I631" s="120">
        <f t="shared" si="202"/>
        <v>81.393054620896294</v>
      </c>
      <c r="J631" s="14">
        <v>14962701.74</v>
      </c>
    </row>
    <row r="632" spans="1:10" customFormat="1" ht="12.75" customHeight="1" x14ac:dyDescent="0.2">
      <c r="A632" s="59"/>
      <c r="B632" s="69" t="s">
        <v>132</v>
      </c>
      <c r="C632" s="52">
        <f>SUM(C633:C634)</f>
        <v>1600000</v>
      </c>
      <c r="D632" s="52">
        <f>SUM(D633:D634)</f>
        <v>500000</v>
      </c>
      <c r="E632" s="130">
        <v>0</v>
      </c>
      <c r="F632" s="130"/>
      <c r="G632" s="126">
        <f t="shared" si="204"/>
        <v>0</v>
      </c>
      <c r="H632" s="126">
        <f t="shared" si="201"/>
        <v>0</v>
      </c>
      <c r="I632" s="126">
        <f t="shared" si="202"/>
        <v>0</v>
      </c>
      <c r="J632" s="14">
        <v>140360</v>
      </c>
    </row>
    <row r="633" spans="1:10" customFormat="1" ht="12.75" customHeight="1" x14ac:dyDescent="0.2">
      <c r="A633" s="59"/>
      <c r="B633" s="102" t="s">
        <v>151</v>
      </c>
      <c r="C633" s="108">
        <v>1300000</v>
      </c>
      <c r="D633" s="108">
        <f>1300000-1100000</f>
        <v>200000</v>
      </c>
      <c r="E633" s="130">
        <v>0</v>
      </c>
      <c r="F633" s="130"/>
      <c r="G633" s="126">
        <f t="shared" si="204"/>
        <v>0</v>
      </c>
      <c r="H633" s="126">
        <f t="shared" si="201"/>
        <v>0</v>
      </c>
      <c r="I633" s="126">
        <v>0</v>
      </c>
      <c r="J633" s="14">
        <v>0</v>
      </c>
    </row>
    <row r="634" spans="1:10" customFormat="1" ht="12.75" customHeight="1" x14ac:dyDescent="0.2">
      <c r="A634" s="59"/>
      <c r="B634" s="102" t="s">
        <v>150</v>
      </c>
      <c r="C634" s="75">
        <v>300000</v>
      </c>
      <c r="D634" s="75">
        <v>300000</v>
      </c>
      <c r="E634" s="130">
        <v>0</v>
      </c>
      <c r="F634" s="10"/>
      <c r="G634" s="126">
        <f t="shared" si="204"/>
        <v>0</v>
      </c>
      <c r="H634" s="126">
        <f t="shared" si="201"/>
        <v>0</v>
      </c>
      <c r="I634" s="126">
        <v>0</v>
      </c>
      <c r="J634" s="14">
        <v>0</v>
      </c>
    </row>
    <row r="635" spans="1:10" customFormat="1" ht="12.75" customHeight="1" x14ac:dyDescent="0.2">
      <c r="A635" s="59"/>
      <c r="B635" s="78" t="s">
        <v>149</v>
      </c>
      <c r="C635" s="52">
        <f>SUM(C636:C639)</f>
        <v>850000</v>
      </c>
      <c r="D635" s="52">
        <f>SUM(D636:D639)</f>
        <v>343400</v>
      </c>
      <c r="E635" s="130">
        <v>0</v>
      </c>
      <c r="F635" s="10"/>
      <c r="G635" s="126">
        <f t="shared" si="204"/>
        <v>0</v>
      </c>
      <c r="H635" s="126">
        <f t="shared" si="201"/>
        <v>0</v>
      </c>
      <c r="I635" s="126">
        <f t="shared" si="202"/>
        <v>0</v>
      </c>
      <c r="J635" s="14">
        <v>3006650.74</v>
      </c>
    </row>
    <row r="636" spans="1:10" customFormat="1" ht="12.75" customHeight="1" x14ac:dyDescent="0.2">
      <c r="A636" s="59"/>
      <c r="B636" s="78" t="s">
        <v>869</v>
      </c>
      <c r="C636" s="10">
        <v>200000</v>
      </c>
      <c r="D636" s="10">
        <f>200000-6600</f>
        <v>193400</v>
      </c>
      <c r="E636" s="130">
        <v>0</v>
      </c>
      <c r="F636" s="130"/>
      <c r="G636" s="126">
        <f t="shared" si="204"/>
        <v>0</v>
      </c>
      <c r="H636" s="126">
        <f t="shared" si="201"/>
        <v>0</v>
      </c>
      <c r="I636" s="126">
        <v>0</v>
      </c>
      <c r="J636" s="14">
        <v>0</v>
      </c>
    </row>
    <row r="637" spans="1:10" customFormat="1" ht="12.75" customHeight="1" x14ac:dyDescent="0.2">
      <c r="A637" s="59"/>
      <c r="B637" s="78" t="s">
        <v>148</v>
      </c>
      <c r="C637" s="10">
        <v>100000</v>
      </c>
      <c r="D637" s="10">
        <v>100000</v>
      </c>
      <c r="E637" s="130">
        <v>0</v>
      </c>
      <c r="F637" s="130"/>
      <c r="G637" s="126">
        <f t="shared" si="204"/>
        <v>0</v>
      </c>
      <c r="H637" s="126">
        <f t="shared" si="201"/>
        <v>0</v>
      </c>
      <c r="I637" s="126">
        <v>0</v>
      </c>
      <c r="J637" s="14">
        <v>0</v>
      </c>
    </row>
    <row r="638" spans="1:10" customFormat="1" ht="12.75" customHeight="1" x14ac:dyDescent="0.2">
      <c r="A638" s="59"/>
      <c r="B638" s="62" t="s">
        <v>147</v>
      </c>
      <c r="C638" s="10">
        <v>150000</v>
      </c>
      <c r="D638" s="10">
        <f>150000-100000</f>
        <v>50000</v>
      </c>
      <c r="E638" s="130">
        <v>0</v>
      </c>
      <c r="F638" s="130"/>
      <c r="G638" s="126">
        <f t="shared" si="204"/>
        <v>0</v>
      </c>
      <c r="H638" s="126">
        <f t="shared" si="201"/>
        <v>0</v>
      </c>
      <c r="I638" s="126">
        <v>0</v>
      </c>
      <c r="J638" s="14">
        <v>0</v>
      </c>
    </row>
    <row r="639" spans="1:10" customFormat="1" ht="12.75" customHeight="1" x14ac:dyDescent="0.2">
      <c r="A639" s="59"/>
      <c r="B639" s="78" t="s">
        <v>146</v>
      </c>
      <c r="C639" s="10">
        <v>400000</v>
      </c>
      <c r="D639" s="10">
        <f>400000-400000</f>
        <v>0</v>
      </c>
      <c r="E639" s="10">
        <v>0</v>
      </c>
      <c r="F639" s="10"/>
      <c r="G639" s="126">
        <f t="shared" si="204"/>
        <v>0</v>
      </c>
      <c r="H639" s="126">
        <v>0</v>
      </c>
      <c r="I639" s="126">
        <v>0</v>
      </c>
      <c r="J639" s="14">
        <v>0</v>
      </c>
    </row>
    <row r="640" spans="1:10" customFormat="1" ht="12.75" customHeight="1" x14ac:dyDescent="0.2">
      <c r="A640" s="59"/>
      <c r="B640" s="69" t="s">
        <v>140</v>
      </c>
      <c r="C640" s="57">
        <f>SUM(C641:C643)</f>
        <v>23187000</v>
      </c>
      <c r="D640" s="57">
        <f>SUM(D641:D643)</f>
        <v>22051600</v>
      </c>
      <c r="E640" s="122">
        <v>12178600</v>
      </c>
      <c r="F640" s="10">
        <f>SUM(E641:E643)</f>
        <v>12178600</v>
      </c>
      <c r="G640" s="120">
        <f t="shared" si="204"/>
        <v>52.523396730926805</v>
      </c>
      <c r="H640" s="120">
        <f t="shared" si="201"/>
        <v>55.227738576792618</v>
      </c>
      <c r="I640" s="120">
        <f t="shared" si="202"/>
        <v>103.07141579785728</v>
      </c>
      <c r="J640" s="14">
        <v>11815691</v>
      </c>
    </row>
    <row r="641" spans="1:10" customFormat="1" ht="12.75" customHeight="1" x14ac:dyDescent="0.2">
      <c r="A641" s="54"/>
      <c r="B641" s="56" t="s">
        <v>145</v>
      </c>
      <c r="C641" s="10">
        <v>23142000</v>
      </c>
      <c r="D641" s="10">
        <f>23142000-1142000+6600</f>
        <v>22006600</v>
      </c>
      <c r="E641" s="127">
        <v>12178600</v>
      </c>
      <c r="F641" s="127"/>
      <c r="G641" s="126">
        <f t="shared" si="204"/>
        <v>52.625529340592855</v>
      </c>
      <c r="H641" s="126">
        <f t="shared" si="201"/>
        <v>55.340670526114891</v>
      </c>
      <c r="I641" s="126">
        <f t="shared" si="202"/>
        <v>103.07141579785728</v>
      </c>
      <c r="J641" s="14">
        <v>11815691</v>
      </c>
    </row>
    <row r="642" spans="1:10" customFormat="1" ht="12.75" customHeight="1" x14ac:dyDescent="0.2">
      <c r="A642" s="54"/>
      <c r="B642" s="69" t="s">
        <v>144</v>
      </c>
      <c r="C642" s="10">
        <v>13000</v>
      </c>
      <c r="D642" s="10">
        <v>13000</v>
      </c>
      <c r="E642" s="127">
        <v>0</v>
      </c>
      <c r="F642" s="127"/>
      <c r="G642" s="126">
        <f t="shared" si="204"/>
        <v>0</v>
      </c>
      <c r="H642" s="126">
        <f t="shared" si="201"/>
        <v>0</v>
      </c>
      <c r="I642" s="126">
        <v>0</v>
      </c>
      <c r="J642" s="14">
        <v>0</v>
      </c>
    </row>
    <row r="643" spans="1:10" customFormat="1" ht="12.75" customHeight="1" x14ac:dyDescent="0.2">
      <c r="A643" s="54"/>
      <c r="B643" s="69" t="s">
        <v>143</v>
      </c>
      <c r="C643" s="10">
        <v>32000</v>
      </c>
      <c r="D643" s="10">
        <v>32000</v>
      </c>
      <c r="E643" s="127">
        <v>0</v>
      </c>
      <c r="F643" s="127"/>
      <c r="G643" s="126">
        <f t="shared" si="204"/>
        <v>0</v>
      </c>
      <c r="H643" s="126">
        <f t="shared" si="201"/>
        <v>0</v>
      </c>
      <c r="I643" s="126">
        <v>0</v>
      </c>
      <c r="J643" s="14">
        <v>0</v>
      </c>
    </row>
    <row r="644" spans="1:10" customFormat="1" ht="12.75" customHeight="1" x14ac:dyDescent="0.2">
      <c r="A644" s="54"/>
      <c r="B644" s="84" t="s">
        <v>142</v>
      </c>
      <c r="C644" s="57">
        <f>C645+C647+C650</f>
        <v>12834000</v>
      </c>
      <c r="D644" s="57">
        <f>D645+D647+D650</f>
        <v>10084000</v>
      </c>
      <c r="E644" s="521">
        <v>3068753.72</v>
      </c>
      <c r="F644" s="152">
        <f>SUM(E645,E647,E650)</f>
        <v>3068753.72</v>
      </c>
      <c r="G644" s="120">
        <f t="shared" si="204"/>
        <v>23.911124513012314</v>
      </c>
      <c r="H644" s="120">
        <f t="shared" si="201"/>
        <v>30.431909163030546</v>
      </c>
      <c r="I644" s="120">
        <f t="shared" si="202"/>
        <v>19.914087612070041</v>
      </c>
      <c r="J644" s="14">
        <v>15409963.939999999</v>
      </c>
    </row>
    <row r="645" spans="1:10" customFormat="1" ht="12.75" customHeight="1" x14ac:dyDescent="0.2">
      <c r="A645" s="54"/>
      <c r="B645" s="69" t="s">
        <v>132</v>
      </c>
      <c r="C645" s="64">
        <f>SUM(C646:C646)</f>
        <v>800000</v>
      </c>
      <c r="D645" s="64">
        <f>SUM(D646:D646)</f>
        <v>200000</v>
      </c>
      <c r="E645" s="152">
        <v>0</v>
      </c>
      <c r="F645" s="127"/>
      <c r="G645" s="126">
        <f t="shared" si="204"/>
        <v>0</v>
      </c>
      <c r="H645" s="126">
        <f t="shared" si="201"/>
        <v>0</v>
      </c>
      <c r="I645" s="126">
        <f t="shared" si="202"/>
        <v>0</v>
      </c>
      <c r="J645" s="14">
        <v>10597574.58</v>
      </c>
    </row>
    <row r="646" spans="1:10" customFormat="1" ht="12.75" customHeight="1" x14ac:dyDescent="0.2">
      <c r="A646" s="54"/>
      <c r="B646" s="53" t="s">
        <v>141</v>
      </c>
      <c r="C646" s="10">
        <v>800000</v>
      </c>
      <c r="D646" s="10">
        <f>800000-600000</f>
        <v>200000</v>
      </c>
      <c r="E646" s="503">
        <v>0</v>
      </c>
      <c r="F646" s="127"/>
      <c r="G646" s="126">
        <f t="shared" si="204"/>
        <v>0</v>
      </c>
      <c r="H646" s="126">
        <f t="shared" si="201"/>
        <v>0</v>
      </c>
      <c r="I646" s="126">
        <v>0</v>
      </c>
      <c r="J646" s="129">
        <v>0</v>
      </c>
    </row>
    <row r="647" spans="1:10" customFormat="1" ht="12.75" customHeight="1" x14ac:dyDescent="0.2">
      <c r="A647" s="54"/>
      <c r="B647" s="69" t="s">
        <v>140</v>
      </c>
      <c r="C647" s="52">
        <f>SUM(C648:C649)</f>
        <v>9884000</v>
      </c>
      <c r="D647" s="52">
        <f>SUM(D648:D649)</f>
        <v>9034000</v>
      </c>
      <c r="E647" s="127">
        <v>3068753.72</v>
      </c>
      <c r="F647" s="127">
        <f>SUM(E648:E649)</f>
        <v>3068753.72</v>
      </c>
      <c r="G647" s="126">
        <f t="shared" si="204"/>
        <v>31.047690408741403</v>
      </c>
      <c r="H647" s="126">
        <f t="shared" si="201"/>
        <v>33.968936462253716</v>
      </c>
      <c r="I647" s="126">
        <f t="shared" si="202"/>
        <v>66.781452937028547</v>
      </c>
      <c r="J647" s="14">
        <v>4595218.5599999996</v>
      </c>
    </row>
    <row r="648" spans="1:10" customFormat="1" ht="12.75" customHeight="1" x14ac:dyDescent="0.2">
      <c r="A648" s="54"/>
      <c r="B648" s="69" t="s">
        <v>139</v>
      </c>
      <c r="C648" s="10">
        <v>9850000</v>
      </c>
      <c r="D648" s="10">
        <f>9850000-850000</f>
        <v>9000000</v>
      </c>
      <c r="E648" s="127">
        <v>3068753.72</v>
      </c>
      <c r="F648" s="127"/>
      <c r="G648" s="126">
        <f t="shared" si="204"/>
        <v>31.154860101522846</v>
      </c>
      <c r="H648" s="126">
        <f t="shared" si="201"/>
        <v>34.097263555555557</v>
      </c>
      <c r="I648" s="126">
        <f t="shared" si="202"/>
        <v>66.781452937028547</v>
      </c>
      <c r="J648" s="14">
        <v>4595218.5599999996</v>
      </c>
    </row>
    <row r="649" spans="1:10" customFormat="1" ht="12.75" customHeight="1" x14ac:dyDescent="0.2">
      <c r="A649" s="54"/>
      <c r="B649" s="69" t="s">
        <v>138</v>
      </c>
      <c r="C649" s="10">
        <v>34000</v>
      </c>
      <c r="D649" s="10">
        <v>34000</v>
      </c>
      <c r="E649" s="127">
        <v>0</v>
      </c>
      <c r="F649" s="2"/>
      <c r="G649" s="126">
        <f t="shared" si="204"/>
        <v>0</v>
      </c>
      <c r="H649" s="126">
        <f t="shared" si="201"/>
        <v>0</v>
      </c>
      <c r="I649" s="126">
        <v>0</v>
      </c>
      <c r="J649" s="14">
        <v>0</v>
      </c>
    </row>
    <row r="650" spans="1:10" customFormat="1" ht="12.75" customHeight="1" x14ac:dyDescent="0.2">
      <c r="A650" s="54"/>
      <c r="B650" s="69" t="s">
        <v>137</v>
      </c>
      <c r="C650" s="52">
        <f>SUM(C651:C653)</f>
        <v>2150000</v>
      </c>
      <c r="D650" s="52">
        <f>SUM(D651:D653)</f>
        <v>850000</v>
      </c>
      <c r="E650" s="504">
        <v>0</v>
      </c>
      <c r="F650" s="127">
        <f>SUM(E651:E653)</f>
        <v>0</v>
      </c>
      <c r="G650" s="126">
        <f t="shared" si="204"/>
        <v>0</v>
      </c>
      <c r="H650" s="126">
        <f t="shared" si="201"/>
        <v>0</v>
      </c>
      <c r="I650" s="126">
        <f t="shared" si="202"/>
        <v>0</v>
      </c>
      <c r="J650" s="14">
        <v>217170</v>
      </c>
    </row>
    <row r="651" spans="1:10" customFormat="1" ht="12.75" customHeight="1" x14ac:dyDescent="0.2">
      <c r="A651" s="54"/>
      <c r="B651" s="69" t="s">
        <v>136</v>
      </c>
      <c r="C651" s="10">
        <v>500000</v>
      </c>
      <c r="D651" s="10">
        <v>500000</v>
      </c>
      <c r="E651" s="127">
        <v>0</v>
      </c>
      <c r="F651" s="127"/>
      <c r="G651" s="126">
        <f t="shared" si="204"/>
        <v>0</v>
      </c>
      <c r="H651" s="126">
        <f t="shared" si="201"/>
        <v>0</v>
      </c>
      <c r="I651" s="126">
        <f t="shared" si="202"/>
        <v>0</v>
      </c>
      <c r="J651" s="14">
        <v>217170</v>
      </c>
    </row>
    <row r="652" spans="1:10" customFormat="1" ht="12.75" customHeight="1" x14ac:dyDescent="0.2">
      <c r="A652" s="107"/>
      <c r="B652" s="69" t="s">
        <v>135</v>
      </c>
      <c r="C652" s="10">
        <v>900000</v>
      </c>
      <c r="D652" s="10">
        <f>900000-700000</f>
        <v>200000</v>
      </c>
      <c r="E652" s="127">
        <v>0</v>
      </c>
      <c r="F652" s="127"/>
      <c r="G652" s="126">
        <f t="shared" si="204"/>
        <v>0</v>
      </c>
      <c r="H652" s="126">
        <f t="shared" si="201"/>
        <v>0</v>
      </c>
      <c r="I652" s="126">
        <v>0</v>
      </c>
      <c r="J652" s="14">
        <v>0</v>
      </c>
    </row>
    <row r="653" spans="1:10" customFormat="1" ht="12.75" customHeight="1" x14ac:dyDescent="0.2">
      <c r="A653" s="54"/>
      <c r="B653" s="69" t="s">
        <v>134</v>
      </c>
      <c r="C653" s="10">
        <v>750000</v>
      </c>
      <c r="D653" s="10">
        <f>750000-600000</f>
        <v>150000</v>
      </c>
      <c r="E653" s="127">
        <v>0</v>
      </c>
      <c r="F653" s="127"/>
      <c r="G653" s="126">
        <f t="shared" si="204"/>
        <v>0</v>
      </c>
      <c r="H653" s="126">
        <f t="shared" si="201"/>
        <v>0</v>
      </c>
      <c r="I653" s="126">
        <v>0</v>
      </c>
      <c r="J653" s="14">
        <v>0</v>
      </c>
    </row>
    <row r="654" spans="1:10" s="106" customFormat="1" ht="12.75" customHeight="1" x14ac:dyDescent="0.2">
      <c r="A654" s="59">
        <v>3612</v>
      </c>
      <c r="B654" s="91" t="s">
        <v>133</v>
      </c>
      <c r="C654" s="63">
        <f>C655+C661</f>
        <v>129014000</v>
      </c>
      <c r="D654" s="63">
        <f>D655+D661</f>
        <v>141762460</v>
      </c>
      <c r="E654" s="122">
        <v>17346114.940000001</v>
      </c>
      <c r="F654" s="10">
        <f>SUM(E655,E661)</f>
        <v>17346114.939999998</v>
      </c>
      <c r="G654" s="120">
        <f t="shared" si="204"/>
        <v>13.445141566031593</v>
      </c>
      <c r="H654" s="120">
        <f t="shared" si="201"/>
        <v>12.236042560209523</v>
      </c>
      <c r="I654" s="120">
        <f t="shared" si="202"/>
        <v>96.28994855227613</v>
      </c>
      <c r="J654" s="14">
        <v>18014460.699999999</v>
      </c>
    </row>
    <row r="655" spans="1:10" customFormat="1" ht="12.75" customHeight="1" x14ac:dyDescent="0.2">
      <c r="A655" s="59"/>
      <c r="B655" s="69" t="s">
        <v>132</v>
      </c>
      <c r="C655" s="64">
        <f>SUM(C656:C660)</f>
        <v>89954000</v>
      </c>
      <c r="D655" s="64">
        <f>SUM(D656:D660)</f>
        <v>104102460</v>
      </c>
      <c r="E655" s="127">
        <v>1018069</v>
      </c>
      <c r="F655" s="127">
        <f>SUM(E656:E660)</f>
        <v>1018069</v>
      </c>
      <c r="G655" s="126">
        <f t="shared" si="204"/>
        <v>1.1317662360762168</v>
      </c>
      <c r="H655" s="126">
        <f t="shared" si="201"/>
        <v>0.97794903213622419</v>
      </c>
      <c r="I655" s="126">
        <f t="shared" si="202"/>
        <v>956.11288504883555</v>
      </c>
      <c r="J655" s="14">
        <v>106480</v>
      </c>
    </row>
    <row r="656" spans="1:10" customFormat="1" ht="12.75" customHeight="1" x14ac:dyDescent="0.2">
      <c r="A656" s="86"/>
      <c r="B656" s="78" t="s">
        <v>130</v>
      </c>
      <c r="C656" s="103">
        <v>14500000</v>
      </c>
      <c r="D656" s="103">
        <v>14500000</v>
      </c>
      <c r="E656" s="127">
        <v>7139</v>
      </c>
      <c r="F656" s="127"/>
      <c r="G656" s="126">
        <f t="shared" si="204"/>
        <v>4.9234482758620697E-2</v>
      </c>
      <c r="H656" s="126">
        <f>E656/D656*100</f>
        <v>4.9234482758620697E-2</v>
      </c>
      <c r="I656" s="126">
        <v>0</v>
      </c>
      <c r="J656" s="14">
        <v>0</v>
      </c>
    </row>
    <row r="657" spans="1:10" customFormat="1" ht="12.75" customHeight="1" x14ac:dyDescent="0.2">
      <c r="A657" s="86"/>
      <c r="B657" s="78" t="s">
        <v>129</v>
      </c>
      <c r="C657" s="100">
        <v>9500000</v>
      </c>
      <c r="D657" s="100">
        <v>9500000</v>
      </c>
      <c r="E657" s="10">
        <v>8470</v>
      </c>
      <c r="F657" s="10"/>
      <c r="G657" s="126">
        <f t="shared" si="204"/>
        <v>8.9157894736842103E-2</v>
      </c>
      <c r="H657" s="126">
        <f>E657/D657*100</f>
        <v>8.9157894736842103E-2</v>
      </c>
      <c r="I657" s="126">
        <f t="shared" ref="I657" si="205">E657/J657*100</f>
        <v>7.9545454545454541</v>
      </c>
      <c r="J657" s="506">
        <v>106480</v>
      </c>
    </row>
    <row r="658" spans="1:10" customFormat="1" ht="12.75" customHeight="1" x14ac:dyDescent="0.2">
      <c r="A658" s="86"/>
      <c r="B658" s="78" t="s">
        <v>969</v>
      </c>
      <c r="C658" s="103">
        <f>(654000+65000000)</f>
        <v>65654000</v>
      </c>
      <c r="D658" s="103">
        <f>(654000+65000000)+15000000-501540-1200000</f>
        <v>78952460</v>
      </c>
      <c r="E658" s="10">
        <v>152460</v>
      </c>
      <c r="F658" s="10"/>
      <c r="G658" s="126">
        <f t="shared" si="204"/>
        <v>0.23221738203308254</v>
      </c>
      <c r="H658" s="126">
        <f>E658/D658*100</f>
        <v>0.19310354610863298</v>
      </c>
      <c r="I658" s="126">
        <v>0</v>
      </c>
      <c r="J658" s="14">
        <v>0</v>
      </c>
    </row>
    <row r="659" spans="1:10" s="73" customFormat="1" ht="12.75" customHeight="1" x14ac:dyDescent="0.2">
      <c r="A659" s="94"/>
      <c r="B659" s="102" t="s">
        <v>896</v>
      </c>
      <c r="C659" s="729">
        <v>300000</v>
      </c>
      <c r="D659" s="729">
        <v>300000</v>
      </c>
      <c r="E659" s="133">
        <v>0</v>
      </c>
      <c r="F659" s="133"/>
      <c r="G659" s="126">
        <f t="shared" ref="G659" si="206">E659/C659*100</f>
        <v>0</v>
      </c>
      <c r="H659" s="126">
        <f t="shared" ref="H659" si="207">E659/D659*100</f>
        <v>0</v>
      </c>
      <c r="I659" s="126">
        <v>0</v>
      </c>
      <c r="J659" s="14">
        <v>0</v>
      </c>
    </row>
    <row r="660" spans="1:10" s="73" customFormat="1" ht="12.75" customHeight="1" x14ac:dyDescent="0.2">
      <c r="A660" s="94"/>
      <c r="B660" s="102" t="s">
        <v>897</v>
      </c>
      <c r="C660" s="729">
        <v>0</v>
      </c>
      <c r="D660" s="729">
        <v>850000</v>
      </c>
      <c r="E660" s="133">
        <v>850000</v>
      </c>
      <c r="F660" s="133"/>
      <c r="G660" s="126">
        <v>0</v>
      </c>
      <c r="H660" s="126">
        <f t="shared" ref="H660:H688" si="208">E660/D660*100</f>
        <v>100</v>
      </c>
      <c r="I660" s="126">
        <v>0</v>
      </c>
      <c r="J660" s="14">
        <v>0</v>
      </c>
    </row>
    <row r="661" spans="1:10" customFormat="1" ht="12.75" customHeight="1" x14ac:dyDescent="0.2">
      <c r="A661" s="59"/>
      <c r="B661" s="69" t="s">
        <v>127</v>
      </c>
      <c r="C661" s="9">
        <f>C662+C665+C670+C675+C677+SUM(C682:C687)</f>
        <v>39060000</v>
      </c>
      <c r="D661" s="9">
        <f>D662+D665+D670+D675+D677+SUM(D682:D687)</f>
        <v>37660000</v>
      </c>
      <c r="E661" s="127">
        <v>16328045.939999999</v>
      </c>
      <c r="F661" s="127">
        <f>SUM(E662,E665,E670,E675,E677,E682:E687)</f>
        <v>16328045.940000001</v>
      </c>
      <c r="G661" s="126">
        <f t="shared" si="204"/>
        <v>41.802472964669739</v>
      </c>
      <c r="H661" s="126">
        <f t="shared" si="208"/>
        <v>43.356468242166748</v>
      </c>
      <c r="I661" s="126">
        <f t="shared" ref="I661:I666" si="209">E661/J661*100</f>
        <v>91.177482338921664</v>
      </c>
      <c r="J661" s="14">
        <v>17907980.699999999</v>
      </c>
    </row>
    <row r="662" spans="1:10" customFormat="1" ht="12.75" customHeight="1" x14ac:dyDescent="0.2">
      <c r="A662" s="59"/>
      <c r="B662" s="84" t="s">
        <v>126</v>
      </c>
      <c r="C662" s="554">
        <f>SUM(C663:C664)</f>
        <v>7250000</v>
      </c>
      <c r="D662" s="554">
        <f>SUM(D663:D664)</f>
        <v>7250000</v>
      </c>
      <c r="E662" s="505">
        <v>544783.09</v>
      </c>
      <c r="F662" s="502">
        <f>SUM(E663:E664)</f>
        <v>544783.09</v>
      </c>
      <c r="G662" s="500">
        <f t="shared" si="204"/>
        <v>7.5142495172413799</v>
      </c>
      <c r="H662" s="500">
        <f t="shared" si="208"/>
        <v>7.5142495172413799</v>
      </c>
      <c r="I662" s="500">
        <f t="shared" si="209"/>
        <v>17.166371687695715</v>
      </c>
      <c r="J662" s="14">
        <v>3173548.26</v>
      </c>
    </row>
    <row r="663" spans="1:10" customFormat="1" ht="12.75" customHeight="1" x14ac:dyDescent="0.2">
      <c r="A663" s="54"/>
      <c r="B663" s="78" t="s">
        <v>125</v>
      </c>
      <c r="C663" s="10">
        <v>5750000</v>
      </c>
      <c r="D663" s="10">
        <f>5750000+(-1000000-2500000)+3500000</f>
        <v>5750000</v>
      </c>
      <c r="E663" s="127">
        <v>544783.09</v>
      </c>
      <c r="F663" s="127"/>
      <c r="G663" s="126">
        <f t="shared" si="204"/>
        <v>9.4744885217391293</v>
      </c>
      <c r="H663" s="126">
        <f t="shared" si="208"/>
        <v>9.4744885217391293</v>
      </c>
      <c r="I663" s="126">
        <f t="shared" si="209"/>
        <v>19.138685956194248</v>
      </c>
      <c r="J663" s="6">
        <v>2846502.06</v>
      </c>
    </row>
    <row r="664" spans="1:10" customFormat="1" ht="12.75" customHeight="1" x14ac:dyDescent="0.2">
      <c r="A664" s="54"/>
      <c r="B664" s="56" t="s">
        <v>124</v>
      </c>
      <c r="C664" s="10">
        <v>1500000</v>
      </c>
      <c r="D664" s="10">
        <f>1500000</f>
        <v>1500000</v>
      </c>
      <c r="E664" s="10">
        <v>0</v>
      </c>
      <c r="F664" s="10"/>
      <c r="G664" s="126">
        <f t="shared" si="204"/>
        <v>0</v>
      </c>
      <c r="H664" s="126">
        <f t="shared" si="208"/>
        <v>0</v>
      </c>
      <c r="I664" s="126">
        <v>0</v>
      </c>
      <c r="J664" s="14">
        <v>0</v>
      </c>
    </row>
    <row r="665" spans="1:10" customFormat="1" ht="12.75" customHeight="1" x14ac:dyDescent="0.2">
      <c r="A665" s="59"/>
      <c r="B665" s="56" t="s">
        <v>123</v>
      </c>
      <c r="C665" s="79">
        <f>C666+C667</f>
        <v>3300000</v>
      </c>
      <c r="D665" s="79">
        <f>D666+D667</f>
        <v>2400000</v>
      </c>
      <c r="E665" s="502">
        <v>660157.71</v>
      </c>
      <c r="F665" s="502">
        <f>SUM(E666:E667)</f>
        <v>660157.71</v>
      </c>
      <c r="G665" s="501">
        <f t="shared" si="204"/>
        <v>20.004779090909089</v>
      </c>
      <c r="H665" s="126">
        <f t="shared" si="208"/>
        <v>27.50657125</v>
      </c>
      <c r="I665" s="126">
        <f t="shared" si="209"/>
        <v>145.86109960949497</v>
      </c>
      <c r="J665" s="14">
        <v>452593.4</v>
      </c>
    </row>
    <row r="666" spans="1:10" customFormat="1" ht="12.75" customHeight="1" x14ac:dyDescent="0.2">
      <c r="A666" s="54"/>
      <c r="B666" s="56" t="s">
        <v>118</v>
      </c>
      <c r="C666" s="10">
        <v>2000000</v>
      </c>
      <c r="D666" s="10">
        <v>2000000</v>
      </c>
      <c r="E666" s="127">
        <v>660157.71</v>
      </c>
      <c r="F666" s="127"/>
      <c r="G666" s="126">
        <f t="shared" si="204"/>
        <v>33.0078855</v>
      </c>
      <c r="H666" s="126">
        <f t="shared" si="208"/>
        <v>33.0078855</v>
      </c>
      <c r="I666" s="126">
        <f t="shared" si="209"/>
        <v>145.86109960949497</v>
      </c>
      <c r="J666" s="14">
        <f>424200+28393.4</f>
        <v>452593.4</v>
      </c>
    </row>
    <row r="667" spans="1:10" customFormat="1" ht="12.75" customHeight="1" x14ac:dyDescent="0.2">
      <c r="A667" s="54"/>
      <c r="B667" s="56" t="s">
        <v>122</v>
      </c>
      <c r="C667" s="52">
        <f>SUM(C668:C669)</f>
        <v>1300000</v>
      </c>
      <c r="D667" s="52">
        <f>SUM(D668:D669)</f>
        <v>400000</v>
      </c>
      <c r="E667" s="127">
        <v>0</v>
      </c>
      <c r="F667" s="127">
        <f>SUM(E668:E669)</f>
        <v>0</v>
      </c>
      <c r="G667" s="126">
        <f t="shared" si="204"/>
        <v>0</v>
      </c>
      <c r="H667" s="126">
        <f t="shared" si="208"/>
        <v>0</v>
      </c>
      <c r="I667" s="126">
        <v>0</v>
      </c>
      <c r="J667" s="14">
        <v>0</v>
      </c>
    </row>
    <row r="668" spans="1:10" s="73" customFormat="1" ht="12.75" customHeight="1" x14ac:dyDescent="0.2">
      <c r="A668" s="94"/>
      <c r="B668" s="61" t="s">
        <v>121</v>
      </c>
      <c r="C668" s="79">
        <v>300000</v>
      </c>
      <c r="D668" s="79">
        <v>300000</v>
      </c>
      <c r="E668" s="127">
        <v>0</v>
      </c>
      <c r="F668" s="127"/>
      <c r="G668" s="126">
        <f t="shared" si="204"/>
        <v>0</v>
      </c>
      <c r="H668" s="126">
        <f t="shared" si="208"/>
        <v>0</v>
      </c>
      <c r="I668" s="126">
        <v>0</v>
      </c>
      <c r="J668" s="14">
        <v>0</v>
      </c>
    </row>
    <row r="669" spans="1:10" s="73" customFormat="1" ht="12.75" customHeight="1" x14ac:dyDescent="0.2">
      <c r="A669" s="94"/>
      <c r="B669" s="61" t="s">
        <v>120</v>
      </c>
      <c r="C669" s="89">
        <v>1000000</v>
      </c>
      <c r="D669" s="89">
        <f>1000000-900000</f>
        <v>100000</v>
      </c>
      <c r="E669" s="127">
        <v>0</v>
      </c>
      <c r="F669" s="127"/>
      <c r="G669" s="126">
        <f t="shared" si="204"/>
        <v>0</v>
      </c>
      <c r="H669" s="126">
        <f t="shared" si="208"/>
        <v>0</v>
      </c>
      <c r="I669" s="126">
        <v>0</v>
      </c>
      <c r="J669" s="14">
        <v>0</v>
      </c>
    </row>
    <row r="670" spans="1:10" s="73" customFormat="1" ht="12.75" customHeight="1" x14ac:dyDescent="0.2">
      <c r="A670" s="54"/>
      <c r="B670" s="56" t="s">
        <v>119</v>
      </c>
      <c r="C670" s="79">
        <f>C671+C672</f>
        <v>3100000</v>
      </c>
      <c r="D670" s="79">
        <f>D671+D672</f>
        <v>3100000</v>
      </c>
      <c r="E670" s="502">
        <v>1340120.48</v>
      </c>
      <c r="F670" s="502">
        <f>SUM(E671:E672)</f>
        <v>1340120.48</v>
      </c>
      <c r="G670" s="501">
        <f t="shared" si="204"/>
        <v>43.229692903225811</v>
      </c>
      <c r="H670" s="501">
        <f t="shared" si="208"/>
        <v>43.229692903225811</v>
      </c>
      <c r="I670" s="126">
        <f t="shared" ref="I670:I679" si="210">E670/J670*100</f>
        <v>57.287856404875129</v>
      </c>
      <c r="J670" s="14">
        <v>2339274.96</v>
      </c>
    </row>
    <row r="671" spans="1:10" customFormat="1" ht="12.75" customHeight="1" x14ac:dyDescent="0.2">
      <c r="A671" s="529"/>
      <c r="B671" s="69" t="s">
        <v>118</v>
      </c>
      <c r="C671" s="10">
        <v>2500000</v>
      </c>
      <c r="D671" s="10">
        <v>2500000</v>
      </c>
      <c r="E671" s="127">
        <v>1246573.73</v>
      </c>
      <c r="F671" s="127"/>
      <c r="G671" s="126">
        <f t="shared" si="204"/>
        <v>49.862949200000003</v>
      </c>
      <c r="H671" s="126">
        <f t="shared" si="208"/>
        <v>49.862949200000003</v>
      </c>
      <c r="I671" s="126">
        <f t="shared" si="210"/>
        <v>99.568465521603585</v>
      </c>
      <c r="J671" s="14">
        <v>1251976.44</v>
      </c>
    </row>
    <row r="672" spans="1:10" customFormat="1" ht="12.75" customHeight="1" x14ac:dyDescent="0.2">
      <c r="A672" s="54"/>
      <c r="B672" s="69" t="s">
        <v>117</v>
      </c>
      <c r="C672" s="52">
        <f>SUM(C673:C674)</f>
        <v>600000</v>
      </c>
      <c r="D672" s="52">
        <f>SUM(D673:D674)</f>
        <v>600000</v>
      </c>
      <c r="E672" s="130">
        <v>93546.75</v>
      </c>
      <c r="F672" s="130">
        <f>SUM(E673:E674)</f>
        <v>93546.75</v>
      </c>
      <c r="G672" s="126">
        <f t="shared" si="204"/>
        <v>15.591125</v>
      </c>
      <c r="H672" s="126">
        <f t="shared" si="208"/>
        <v>15.591125</v>
      </c>
      <c r="I672" s="126">
        <f t="shared" si="210"/>
        <v>8.6035939789562121</v>
      </c>
      <c r="J672" s="14">
        <v>1087298.52</v>
      </c>
    </row>
    <row r="673" spans="1:10" s="73" customFormat="1" ht="12.75" customHeight="1" x14ac:dyDescent="0.2">
      <c r="A673" s="94"/>
      <c r="B673" s="78" t="s">
        <v>116</v>
      </c>
      <c r="C673" s="52">
        <v>300000</v>
      </c>
      <c r="D673" s="52">
        <v>300000</v>
      </c>
      <c r="E673" s="130">
        <v>93546.75</v>
      </c>
      <c r="F673" s="10"/>
      <c r="G673" s="126">
        <f t="shared" si="204"/>
        <v>31.18225</v>
      </c>
      <c r="H673" s="126">
        <f t="shared" si="208"/>
        <v>31.18225</v>
      </c>
      <c r="I673" s="126">
        <v>0</v>
      </c>
      <c r="J673" s="14">
        <v>0</v>
      </c>
    </row>
    <row r="674" spans="1:10" s="73" customFormat="1" ht="12.75" customHeight="1" x14ac:dyDescent="0.2">
      <c r="A674" s="94"/>
      <c r="B674" s="97" t="s">
        <v>115</v>
      </c>
      <c r="C674" s="64">
        <v>300000</v>
      </c>
      <c r="D674" s="64">
        <v>300000</v>
      </c>
      <c r="E674" s="130">
        <v>0</v>
      </c>
      <c r="F674" s="130"/>
      <c r="G674" s="126">
        <f t="shared" si="204"/>
        <v>0</v>
      </c>
      <c r="H674" s="126">
        <f t="shared" si="208"/>
        <v>0</v>
      </c>
      <c r="I674" s="126">
        <v>0</v>
      </c>
      <c r="J674" s="14">
        <v>0</v>
      </c>
    </row>
    <row r="675" spans="1:10" s="73" customFormat="1" ht="12.75" customHeight="1" x14ac:dyDescent="0.2">
      <c r="A675" s="54"/>
      <c r="B675" s="69" t="s">
        <v>114</v>
      </c>
      <c r="C675" s="95">
        <v>0</v>
      </c>
      <c r="D675" s="95">
        <v>0</v>
      </c>
      <c r="E675" s="499">
        <v>0</v>
      </c>
      <c r="F675" s="499"/>
      <c r="G675" s="501">
        <v>0</v>
      </c>
      <c r="H675" s="501">
        <v>0</v>
      </c>
      <c r="I675" s="126">
        <v>0</v>
      </c>
      <c r="J675" s="14">
        <v>0</v>
      </c>
    </row>
    <row r="676" spans="1:10" customFormat="1" ht="12.75" customHeight="1" x14ac:dyDescent="0.2">
      <c r="A676" s="54"/>
      <c r="B676" s="69" t="s">
        <v>113</v>
      </c>
      <c r="C676" s="9">
        <v>0</v>
      </c>
      <c r="D676" s="9">
        <v>0</v>
      </c>
      <c r="E676" s="130">
        <v>0</v>
      </c>
      <c r="F676" s="130"/>
      <c r="G676" s="126">
        <v>0</v>
      </c>
      <c r="H676" s="126">
        <v>0</v>
      </c>
      <c r="I676" s="126">
        <v>0</v>
      </c>
      <c r="J676" s="14">
        <v>0</v>
      </c>
    </row>
    <row r="677" spans="1:10" customFormat="1" ht="12.75" customHeight="1" x14ac:dyDescent="0.2">
      <c r="A677" s="54"/>
      <c r="B677" s="56" t="s">
        <v>112</v>
      </c>
      <c r="C677" s="82">
        <f>C678+C679</f>
        <v>2500000</v>
      </c>
      <c r="D677" s="82">
        <f>D678+D679</f>
        <v>2000000</v>
      </c>
      <c r="E677" s="499">
        <v>293013.8</v>
      </c>
      <c r="F677" s="499">
        <f>SUM(E678:E679)</f>
        <v>293013.8</v>
      </c>
      <c r="G677" s="501">
        <f t="shared" si="204"/>
        <v>11.720552</v>
      </c>
      <c r="H677" s="501">
        <f t="shared" si="208"/>
        <v>14.650689999999999</v>
      </c>
      <c r="I677" s="501">
        <f t="shared" si="210"/>
        <v>23.474544333486648</v>
      </c>
      <c r="J677" s="14">
        <v>1248219.33</v>
      </c>
    </row>
    <row r="678" spans="1:10" customFormat="1" ht="12.75" customHeight="1" x14ac:dyDescent="0.2">
      <c r="A678" s="54"/>
      <c r="B678" s="69" t="s">
        <v>111</v>
      </c>
      <c r="C678" s="9">
        <v>1500000</v>
      </c>
      <c r="D678" s="9">
        <v>1500000</v>
      </c>
      <c r="E678" s="130">
        <v>293013.8</v>
      </c>
      <c r="F678" s="130"/>
      <c r="G678" s="126">
        <f t="shared" ref="G678:G726" si="211">E678/C678*100</f>
        <v>19.534253333333332</v>
      </c>
      <c r="H678" s="126">
        <f t="shared" si="208"/>
        <v>19.534253333333332</v>
      </c>
      <c r="I678" s="126">
        <f t="shared" si="210"/>
        <v>47.201258297284326</v>
      </c>
      <c r="J678" s="14">
        <v>620775.4</v>
      </c>
    </row>
    <row r="679" spans="1:10" customFormat="1" ht="12.75" customHeight="1" x14ac:dyDescent="0.2">
      <c r="A679" s="54"/>
      <c r="B679" s="85" t="s">
        <v>110</v>
      </c>
      <c r="C679" s="64">
        <f>SUM(C680:C681)</f>
        <v>1000000</v>
      </c>
      <c r="D679" s="64">
        <f>SUM(D680:D681)</f>
        <v>500000</v>
      </c>
      <c r="E679" s="130">
        <v>0</v>
      </c>
      <c r="F679" s="130">
        <f>SUM(E680:E681)</f>
        <v>0</v>
      </c>
      <c r="G679" s="126">
        <f t="shared" si="211"/>
        <v>0</v>
      </c>
      <c r="H679" s="126">
        <f t="shared" si="208"/>
        <v>0</v>
      </c>
      <c r="I679" s="126">
        <f t="shared" si="210"/>
        <v>0</v>
      </c>
      <c r="J679" s="14">
        <v>627443.93000000005</v>
      </c>
    </row>
    <row r="680" spans="1:10" s="73" customFormat="1" ht="12.75" customHeight="1" x14ac:dyDescent="0.2">
      <c r="A680" s="94"/>
      <c r="B680" s="77" t="s">
        <v>109</v>
      </c>
      <c r="C680" s="9">
        <v>500000</v>
      </c>
      <c r="D680" s="9">
        <f>500000-500000</f>
        <v>0</v>
      </c>
      <c r="E680" s="130">
        <v>0</v>
      </c>
      <c r="F680" s="130"/>
      <c r="G680" s="126">
        <f t="shared" si="211"/>
        <v>0</v>
      </c>
      <c r="H680" s="126">
        <v>0</v>
      </c>
      <c r="I680" s="126">
        <v>0</v>
      </c>
      <c r="J680" s="14">
        <v>0</v>
      </c>
    </row>
    <row r="681" spans="1:10" s="73" customFormat="1" ht="12.75" customHeight="1" x14ac:dyDescent="0.2">
      <c r="A681" s="94"/>
      <c r="B681" s="93" t="s">
        <v>108</v>
      </c>
      <c r="C681" s="10">
        <v>500000</v>
      </c>
      <c r="D681" s="10">
        <v>500000</v>
      </c>
      <c r="E681" s="130">
        <v>0</v>
      </c>
      <c r="F681" s="130"/>
      <c r="G681" s="126">
        <f t="shared" si="211"/>
        <v>0</v>
      </c>
      <c r="H681" s="126">
        <f t="shared" si="208"/>
        <v>0</v>
      </c>
      <c r="I681" s="126">
        <v>0</v>
      </c>
      <c r="J681" s="14">
        <v>0</v>
      </c>
    </row>
    <row r="682" spans="1:10" s="73" customFormat="1" ht="12.75" customHeight="1" x14ac:dyDescent="0.2">
      <c r="A682" s="54"/>
      <c r="B682" s="69" t="s">
        <v>107</v>
      </c>
      <c r="C682" s="9">
        <v>260000</v>
      </c>
      <c r="D682" s="9">
        <v>260000</v>
      </c>
      <c r="E682" s="127">
        <v>69927</v>
      </c>
      <c r="F682" s="127"/>
      <c r="G682" s="126">
        <f t="shared" si="211"/>
        <v>26.895000000000003</v>
      </c>
      <c r="H682" s="126">
        <f t="shared" si="208"/>
        <v>26.895000000000003</v>
      </c>
      <c r="I682" s="126">
        <f t="shared" ref="I682:I689" si="212">E682/J682*100</f>
        <v>71.335883703136957</v>
      </c>
      <c r="J682" s="129">
        <v>98025</v>
      </c>
    </row>
    <row r="683" spans="1:10" customFormat="1" ht="12.75" customHeight="1" x14ac:dyDescent="0.2">
      <c r="A683" s="54"/>
      <c r="B683" s="78" t="s">
        <v>106</v>
      </c>
      <c r="C683" s="9">
        <v>2500000</v>
      </c>
      <c r="D683" s="9">
        <v>2500000</v>
      </c>
      <c r="E683" s="130">
        <v>1225763.3899999999</v>
      </c>
      <c r="F683" s="130"/>
      <c r="G683" s="126">
        <f t="shared" si="211"/>
        <v>49.0305356</v>
      </c>
      <c r="H683" s="126">
        <f t="shared" si="208"/>
        <v>49.0305356</v>
      </c>
      <c r="I683" s="126">
        <f t="shared" si="212"/>
        <v>130.44675805222039</v>
      </c>
      <c r="J683" s="14">
        <v>939665.66</v>
      </c>
    </row>
    <row r="684" spans="1:10" customFormat="1" ht="12.75" customHeight="1" x14ac:dyDescent="0.2">
      <c r="A684" s="54"/>
      <c r="B684" s="78" t="s">
        <v>105</v>
      </c>
      <c r="C684" s="9">
        <v>100000</v>
      </c>
      <c r="D684" s="9">
        <v>100000</v>
      </c>
      <c r="E684" s="117">
        <v>41628</v>
      </c>
      <c r="F684" s="11"/>
      <c r="G684" s="126">
        <f t="shared" si="211"/>
        <v>41.628</v>
      </c>
      <c r="H684" s="126">
        <f t="shared" si="208"/>
        <v>41.628</v>
      </c>
      <c r="I684" s="126">
        <f t="shared" si="212"/>
        <v>102.66350991417579</v>
      </c>
      <c r="J684" s="14">
        <v>40548</v>
      </c>
    </row>
    <row r="685" spans="1:10" customFormat="1" ht="12.75" customHeight="1" x14ac:dyDescent="0.2">
      <c r="A685" s="54"/>
      <c r="B685" s="78" t="s">
        <v>104</v>
      </c>
      <c r="C685" s="9">
        <v>20000000</v>
      </c>
      <c r="D685" s="9">
        <v>20000000</v>
      </c>
      <c r="E685" s="117">
        <v>10449811.470000001</v>
      </c>
      <c r="F685" s="117"/>
      <c r="G685" s="126">
        <f t="shared" si="211"/>
        <v>52.249057350000008</v>
      </c>
      <c r="H685" s="126">
        <f t="shared" si="208"/>
        <v>52.249057350000008</v>
      </c>
      <c r="I685" s="126">
        <f t="shared" si="212"/>
        <v>108.6698933319407</v>
      </c>
      <c r="J685" s="14">
        <v>9616105.3900000006</v>
      </c>
    </row>
    <row r="686" spans="1:10" customFormat="1" ht="12.75" customHeight="1" x14ac:dyDescent="0.2">
      <c r="A686" s="92"/>
      <c r="B686" s="85" t="s">
        <v>103</v>
      </c>
      <c r="C686" s="9">
        <v>50000</v>
      </c>
      <c r="D686" s="9">
        <v>50000</v>
      </c>
      <c r="E686" s="130">
        <v>0</v>
      </c>
      <c r="F686" s="130"/>
      <c r="G686" s="126">
        <f t="shared" ref="G686" si="213">E686/C686*100</f>
        <v>0</v>
      </c>
      <c r="H686" s="126">
        <f t="shared" ref="H686" si="214">E686/D686*100</f>
        <v>0</v>
      </c>
      <c r="I686" s="126">
        <v>0</v>
      </c>
      <c r="J686" s="6">
        <v>0</v>
      </c>
    </row>
    <row r="687" spans="1:10" customFormat="1" ht="12.75" customHeight="1" x14ac:dyDescent="0.2">
      <c r="A687" s="92"/>
      <c r="B687" s="85" t="s">
        <v>975</v>
      </c>
      <c r="C687" s="9">
        <v>0</v>
      </c>
      <c r="D687" s="9">
        <v>0</v>
      </c>
      <c r="E687" s="130">
        <v>1702841</v>
      </c>
      <c r="F687" s="130"/>
      <c r="G687" s="126">
        <v>0</v>
      </c>
      <c r="H687" s="126">
        <v>0</v>
      </c>
      <c r="I687" s="126">
        <v>0</v>
      </c>
      <c r="J687" s="6">
        <v>0</v>
      </c>
    </row>
    <row r="688" spans="1:10" customFormat="1" ht="12.75" customHeight="1" x14ac:dyDescent="0.2">
      <c r="A688" s="71">
        <v>3613</v>
      </c>
      <c r="B688" s="91" t="s">
        <v>102</v>
      </c>
      <c r="C688" s="24">
        <f>C689+C698+C699+C700+C705+C717+C716</f>
        <v>25001000</v>
      </c>
      <c r="D688" s="24">
        <f>D689+D698+D699+D700+D705+D717+D716</f>
        <v>28910294.030000001</v>
      </c>
      <c r="E688" s="121">
        <v>6190961.1399999997</v>
      </c>
      <c r="F688" s="10">
        <f>SUM(E689,E698:E700,E705,E716:E717)</f>
        <v>6190961.1399999997</v>
      </c>
      <c r="G688" s="120">
        <f t="shared" si="211"/>
        <v>24.762854045838164</v>
      </c>
      <c r="H688" s="120">
        <f t="shared" si="208"/>
        <v>21.414383172913027</v>
      </c>
      <c r="I688" s="120">
        <f t="shared" si="212"/>
        <v>73.06944254771733</v>
      </c>
      <c r="J688" s="6">
        <v>8472708.8699999992</v>
      </c>
    </row>
    <row r="689" spans="1:10" customFormat="1" ht="12.75" customHeight="1" x14ac:dyDescent="0.2">
      <c r="A689" s="76"/>
      <c r="B689" s="69" t="s">
        <v>101</v>
      </c>
      <c r="C689" s="52">
        <f>SUM(C690:C697)</f>
        <v>6843000</v>
      </c>
      <c r="D689" s="52">
        <f>SUM(D690:D697)</f>
        <v>11043000</v>
      </c>
      <c r="E689" s="130">
        <v>46186</v>
      </c>
      <c r="F689" s="130">
        <f>SUM(E690:E697)</f>
        <v>46186</v>
      </c>
      <c r="G689" s="126">
        <f t="shared" si="211"/>
        <v>0.67493789273710358</v>
      </c>
      <c r="H689" s="126">
        <f t="shared" ref="H689" si="215">E689/D689*100</f>
        <v>0.41823779769990033</v>
      </c>
      <c r="I689" s="126">
        <f t="shared" si="212"/>
        <v>1.3271777221773984</v>
      </c>
      <c r="J689" s="6">
        <v>3480016.22</v>
      </c>
    </row>
    <row r="690" spans="1:10" customFormat="1" ht="12.75" customHeight="1" x14ac:dyDescent="0.2">
      <c r="A690" s="59"/>
      <c r="B690" s="78" t="s">
        <v>100</v>
      </c>
      <c r="C690" s="89">
        <v>750000</v>
      </c>
      <c r="D690" s="89">
        <v>750000</v>
      </c>
      <c r="E690" s="133">
        <v>0</v>
      </c>
      <c r="F690" s="127"/>
      <c r="G690" s="126">
        <f t="shared" si="211"/>
        <v>0</v>
      </c>
      <c r="H690" s="126">
        <f t="shared" ref="H690:H695" si="216">E690/D690*100</f>
        <v>0</v>
      </c>
      <c r="I690" s="126">
        <v>0</v>
      </c>
      <c r="J690" s="14">
        <v>0</v>
      </c>
    </row>
    <row r="691" spans="1:10" customFormat="1" ht="12.75" customHeight="1" x14ac:dyDescent="0.2">
      <c r="A691" s="59"/>
      <c r="B691" s="88" t="s">
        <v>99</v>
      </c>
      <c r="C691" s="64">
        <v>500000</v>
      </c>
      <c r="D691" s="64">
        <v>500000</v>
      </c>
      <c r="E691" s="127">
        <v>0</v>
      </c>
      <c r="F691" s="127"/>
      <c r="G691" s="126">
        <f t="shared" si="211"/>
        <v>0</v>
      </c>
      <c r="H691" s="126">
        <f t="shared" si="216"/>
        <v>0</v>
      </c>
      <c r="I691" s="126">
        <v>0</v>
      </c>
      <c r="J691" s="6">
        <v>0</v>
      </c>
    </row>
    <row r="692" spans="1:10" customFormat="1" ht="12.75" customHeight="1" x14ac:dyDescent="0.2">
      <c r="A692" s="59"/>
      <c r="B692" s="67" t="s">
        <v>98</v>
      </c>
      <c r="C692" s="64">
        <v>100000</v>
      </c>
      <c r="D692" s="64">
        <v>100000</v>
      </c>
      <c r="E692" s="127">
        <v>0</v>
      </c>
      <c r="F692" s="127"/>
      <c r="G692" s="126">
        <f t="shared" si="211"/>
        <v>0</v>
      </c>
      <c r="H692" s="126">
        <f t="shared" si="216"/>
        <v>0</v>
      </c>
      <c r="I692" s="126">
        <v>0</v>
      </c>
      <c r="J692" s="6">
        <v>0</v>
      </c>
    </row>
    <row r="693" spans="1:10" customFormat="1" ht="12.75" customHeight="1" x14ac:dyDescent="0.2">
      <c r="A693" s="71"/>
      <c r="B693" s="67" t="s">
        <v>893</v>
      </c>
      <c r="C693" s="9">
        <v>393000</v>
      </c>
      <c r="D693" s="9">
        <f>393000-100000</f>
        <v>293000</v>
      </c>
      <c r="E693" s="127">
        <v>0</v>
      </c>
      <c r="F693" s="127"/>
      <c r="G693" s="126">
        <f t="shared" si="211"/>
        <v>0</v>
      </c>
      <c r="H693" s="126">
        <f t="shared" si="216"/>
        <v>0</v>
      </c>
      <c r="I693" s="126">
        <v>0</v>
      </c>
      <c r="J693" s="14">
        <v>0</v>
      </c>
    </row>
    <row r="694" spans="1:10" customFormat="1" ht="12.75" customHeight="1" x14ac:dyDescent="0.2">
      <c r="A694" s="71"/>
      <c r="B694" s="69" t="s">
        <v>97</v>
      </c>
      <c r="C694" s="9">
        <v>2300000</v>
      </c>
      <c r="D694" s="9">
        <f>2300000-2300000</f>
        <v>0</v>
      </c>
      <c r="E694" s="127">
        <v>0</v>
      </c>
      <c r="F694" s="127"/>
      <c r="G694" s="126">
        <f t="shared" si="211"/>
        <v>0</v>
      </c>
      <c r="H694" s="126">
        <v>0</v>
      </c>
      <c r="I694" s="126">
        <v>0</v>
      </c>
      <c r="J694" s="6">
        <v>0</v>
      </c>
    </row>
    <row r="695" spans="1:10" customFormat="1" ht="12.75" customHeight="1" x14ac:dyDescent="0.2">
      <c r="A695" s="71"/>
      <c r="B695" s="88" t="s">
        <v>96</v>
      </c>
      <c r="C695" s="9">
        <v>100000</v>
      </c>
      <c r="D695" s="9">
        <v>100000</v>
      </c>
      <c r="E695" s="152">
        <v>7986</v>
      </c>
      <c r="F695" s="152"/>
      <c r="G695" s="126">
        <f t="shared" si="211"/>
        <v>7.9859999999999998</v>
      </c>
      <c r="H695" s="126">
        <f t="shared" si="216"/>
        <v>7.9859999999999998</v>
      </c>
      <c r="I695" s="126">
        <v>0</v>
      </c>
      <c r="J695" s="6">
        <v>0</v>
      </c>
    </row>
    <row r="696" spans="1:10" customFormat="1" ht="12.75" customHeight="1" x14ac:dyDescent="0.2">
      <c r="A696" s="71"/>
      <c r="B696" s="69" t="s">
        <v>911</v>
      </c>
      <c r="C696" s="10">
        <v>2000000</v>
      </c>
      <c r="D696" s="10">
        <f>2000000+(6000000+3200000-2000000)</f>
        <v>9200000</v>
      </c>
      <c r="E696" s="127">
        <v>38200</v>
      </c>
      <c r="F696" s="127"/>
      <c r="G696" s="126">
        <f t="shared" si="211"/>
        <v>1.91</v>
      </c>
      <c r="H696" s="130">
        <f>E696/D696*100</f>
        <v>0.41521739130434782</v>
      </c>
      <c r="I696" s="130">
        <v>0</v>
      </c>
      <c r="J696" s="6">
        <v>0</v>
      </c>
    </row>
    <row r="697" spans="1:10" customFormat="1" ht="12.75" customHeight="1" x14ac:dyDescent="0.2">
      <c r="A697" s="71"/>
      <c r="B697" s="69" t="s">
        <v>95</v>
      </c>
      <c r="C697" s="9">
        <v>700000</v>
      </c>
      <c r="D697" s="9">
        <f>700000-600000</f>
        <v>100000</v>
      </c>
      <c r="E697" s="133">
        <v>0</v>
      </c>
      <c r="F697" s="133"/>
      <c r="G697" s="126">
        <f t="shared" si="211"/>
        <v>0</v>
      </c>
      <c r="H697" s="130">
        <f t="shared" ref="H697:H747" si="217">E697/D697*100</f>
        <v>0</v>
      </c>
      <c r="I697" s="130">
        <v>0</v>
      </c>
      <c r="J697" s="14">
        <v>0</v>
      </c>
    </row>
    <row r="698" spans="1:10" customFormat="1" ht="12.75" customHeight="1" x14ac:dyDescent="0.2">
      <c r="A698" s="76"/>
      <c r="B698" s="87" t="s">
        <v>94</v>
      </c>
      <c r="C698" s="9">
        <v>30000</v>
      </c>
      <c r="D698" s="9">
        <v>30000</v>
      </c>
      <c r="E698" s="152">
        <v>0</v>
      </c>
      <c r="F698" s="152"/>
      <c r="G698" s="126">
        <f t="shared" si="211"/>
        <v>0</v>
      </c>
      <c r="H698" s="130">
        <f t="shared" si="217"/>
        <v>0</v>
      </c>
      <c r="I698" s="130">
        <v>0</v>
      </c>
      <c r="J698" s="14">
        <v>0</v>
      </c>
    </row>
    <row r="699" spans="1:10" customFormat="1" ht="12.75" customHeight="1" x14ac:dyDescent="0.2">
      <c r="A699" s="76"/>
      <c r="B699" s="87" t="s">
        <v>93</v>
      </c>
      <c r="C699" s="9">
        <v>50000</v>
      </c>
      <c r="D699" s="9">
        <v>50000</v>
      </c>
      <c r="E699" s="206">
        <v>7171.29</v>
      </c>
      <c r="F699" s="206"/>
      <c r="G699" s="126">
        <f t="shared" si="211"/>
        <v>14.34258</v>
      </c>
      <c r="H699" s="130">
        <f t="shared" si="217"/>
        <v>14.34258</v>
      </c>
      <c r="I699" s="130">
        <v>0</v>
      </c>
      <c r="J699" s="14">
        <v>0</v>
      </c>
    </row>
    <row r="700" spans="1:10" customFormat="1" ht="12.75" customHeight="1" x14ac:dyDescent="0.2">
      <c r="A700" s="76"/>
      <c r="B700" s="87" t="s">
        <v>92</v>
      </c>
      <c r="C700" s="9">
        <f>SUM(C701:C704)</f>
        <v>5100000</v>
      </c>
      <c r="D700" s="9">
        <f>SUM(D701:D704)</f>
        <v>5100000</v>
      </c>
      <c r="E700" s="507">
        <v>1609601.21</v>
      </c>
      <c r="F700" s="507">
        <f>SUM(E701:E704)</f>
        <v>1609601.21</v>
      </c>
      <c r="G700" s="126">
        <f t="shared" si="211"/>
        <v>31.560808039215686</v>
      </c>
      <c r="H700" s="130">
        <f t="shared" si="217"/>
        <v>31.560808039215686</v>
      </c>
      <c r="I700" s="130">
        <f t="shared" ref="I700:I719" si="218">E700/J700*100</f>
        <v>78.340337161547637</v>
      </c>
      <c r="J700" s="6">
        <v>2054626.35</v>
      </c>
    </row>
    <row r="701" spans="1:10" customFormat="1" ht="12.75" customHeight="1" x14ac:dyDescent="0.2">
      <c r="A701" s="59"/>
      <c r="B701" s="85" t="s">
        <v>91</v>
      </c>
      <c r="C701" s="52">
        <v>800000</v>
      </c>
      <c r="D701" s="52">
        <v>800000</v>
      </c>
      <c r="E701" s="126">
        <v>263394.31</v>
      </c>
      <c r="F701" s="126"/>
      <c r="G701" s="126">
        <f t="shared" si="211"/>
        <v>32.924288749999995</v>
      </c>
      <c r="H701" s="130">
        <f t="shared" si="217"/>
        <v>32.924288749999995</v>
      </c>
      <c r="I701" s="130">
        <f t="shared" si="218"/>
        <v>93.529298135161625</v>
      </c>
      <c r="J701" s="6">
        <v>281616.90000000002</v>
      </c>
    </row>
    <row r="702" spans="1:10" customFormat="1" ht="12.75" customHeight="1" x14ac:dyDescent="0.2">
      <c r="A702" s="59"/>
      <c r="B702" s="85" t="s">
        <v>90</v>
      </c>
      <c r="C702" s="52">
        <v>1500000</v>
      </c>
      <c r="D702" s="52">
        <v>1500000</v>
      </c>
      <c r="E702" s="130">
        <v>487307.09</v>
      </c>
      <c r="F702" s="130"/>
      <c r="G702" s="126">
        <f t="shared" si="211"/>
        <v>32.487139333333339</v>
      </c>
      <c r="H702" s="130">
        <f t="shared" si="217"/>
        <v>32.487139333333339</v>
      </c>
      <c r="I702" s="130">
        <f t="shared" si="218"/>
        <v>79.36704069123013</v>
      </c>
      <c r="J702" s="14">
        <v>613991.76</v>
      </c>
    </row>
    <row r="703" spans="1:10" customFormat="1" ht="12.75" customHeight="1" x14ac:dyDescent="0.2">
      <c r="A703" s="59"/>
      <c r="B703" s="85" t="s">
        <v>89</v>
      </c>
      <c r="C703" s="52">
        <v>1100000</v>
      </c>
      <c r="D703" s="52">
        <v>1100000</v>
      </c>
      <c r="E703" s="130">
        <v>405225.75</v>
      </c>
      <c r="F703" s="130"/>
      <c r="G703" s="126">
        <f t="shared" si="211"/>
        <v>36.838704545454547</v>
      </c>
      <c r="H703" s="130">
        <f t="shared" si="217"/>
        <v>36.838704545454547</v>
      </c>
      <c r="I703" s="130">
        <f t="shared" si="218"/>
        <v>99.065867256897434</v>
      </c>
      <c r="J703" s="14">
        <v>409046.79</v>
      </c>
    </row>
    <row r="704" spans="1:10" customFormat="1" ht="12.75" customHeight="1" x14ac:dyDescent="0.2">
      <c r="A704" s="59"/>
      <c r="B704" s="85" t="s">
        <v>88</v>
      </c>
      <c r="C704" s="10">
        <v>1700000</v>
      </c>
      <c r="D704" s="10">
        <v>1700000</v>
      </c>
      <c r="E704" s="130">
        <v>453674.06</v>
      </c>
      <c r="F704" s="130"/>
      <c r="G704" s="126">
        <f t="shared" si="211"/>
        <v>26.686709411764703</v>
      </c>
      <c r="H704" s="130">
        <f t="shared" si="217"/>
        <v>26.686709411764703</v>
      </c>
      <c r="I704" s="130">
        <f t="shared" si="218"/>
        <v>60.492221764871147</v>
      </c>
      <c r="J704" s="14">
        <v>749970.9</v>
      </c>
    </row>
    <row r="705" spans="1:10" customFormat="1" ht="12.75" customHeight="1" x14ac:dyDescent="0.2">
      <c r="A705" s="76"/>
      <c r="B705" s="87" t="s">
        <v>87</v>
      </c>
      <c r="C705" s="10">
        <f>SUM(C706:C715)</f>
        <v>4250000</v>
      </c>
      <c r="D705" s="10">
        <f>SUM(D706:D715)</f>
        <v>4260700</v>
      </c>
      <c r="E705" s="130">
        <v>1352443.75</v>
      </c>
      <c r="F705" s="130">
        <f>SUM(E706:E715)</f>
        <v>1352443.75</v>
      </c>
      <c r="G705" s="126">
        <f t="shared" si="211"/>
        <v>31.822205882352939</v>
      </c>
      <c r="H705" s="130">
        <f t="shared" si="217"/>
        <v>31.742289999295892</v>
      </c>
      <c r="I705" s="130">
        <f t="shared" si="218"/>
        <v>81.604405969221077</v>
      </c>
      <c r="J705" s="14">
        <v>1657317.07</v>
      </c>
    </row>
    <row r="706" spans="1:10" customFormat="1" ht="12.75" customHeight="1" x14ac:dyDescent="0.2">
      <c r="A706" s="59"/>
      <c r="B706" s="69" t="s">
        <v>86</v>
      </c>
      <c r="C706" s="10">
        <v>200000</v>
      </c>
      <c r="D706" s="10">
        <v>200000</v>
      </c>
      <c r="E706" s="130">
        <v>0</v>
      </c>
      <c r="F706" s="130"/>
      <c r="G706" s="126">
        <f t="shared" si="211"/>
        <v>0</v>
      </c>
      <c r="H706" s="130">
        <f t="shared" si="217"/>
        <v>0</v>
      </c>
      <c r="I706" s="130">
        <v>0</v>
      </c>
      <c r="J706" s="14">
        <v>0</v>
      </c>
    </row>
    <row r="707" spans="1:10" customFormat="1" ht="12.75" customHeight="1" x14ac:dyDescent="0.2">
      <c r="A707" s="59"/>
      <c r="B707" s="69" t="s">
        <v>85</v>
      </c>
      <c r="C707" s="10">
        <v>50000</v>
      </c>
      <c r="D707" s="10">
        <v>50000</v>
      </c>
      <c r="E707" s="130">
        <v>0</v>
      </c>
      <c r="F707" s="130"/>
      <c r="G707" s="126">
        <f t="shared" si="211"/>
        <v>0</v>
      </c>
      <c r="H707" s="130">
        <f t="shared" si="217"/>
        <v>0</v>
      </c>
      <c r="I707" s="130">
        <v>0</v>
      </c>
      <c r="J707" s="6">
        <v>0</v>
      </c>
    </row>
    <row r="708" spans="1:10" customFormat="1" ht="12.75" customHeight="1" x14ac:dyDescent="0.2">
      <c r="A708" s="59"/>
      <c r="B708" s="85" t="s">
        <v>84</v>
      </c>
      <c r="C708" s="10">
        <v>1300000</v>
      </c>
      <c r="D708" s="10">
        <v>1300000</v>
      </c>
      <c r="E708" s="130">
        <v>397235.75</v>
      </c>
      <c r="F708" s="130"/>
      <c r="G708" s="126">
        <f t="shared" si="211"/>
        <v>30.556596153846154</v>
      </c>
      <c r="H708" s="130">
        <f t="shared" si="217"/>
        <v>30.556596153846154</v>
      </c>
      <c r="I708" s="130">
        <f t="shared" si="218"/>
        <v>59.032175525084959</v>
      </c>
      <c r="J708" s="14">
        <v>672913.96</v>
      </c>
    </row>
    <row r="709" spans="1:10" customFormat="1" ht="12.75" customHeight="1" x14ac:dyDescent="0.2">
      <c r="A709" s="59"/>
      <c r="B709" s="56" t="s">
        <v>976</v>
      </c>
      <c r="C709" s="10">
        <v>100000</v>
      </c>
      <c r="D709" s="10">
        <v>100000</v>
      </c>
      <c r="E709" s="126">
        <v>0</v>
      </c>
      <c r="F709" s="126"/>
      <c r="G709" s="126">
        <f t="shared" si="211"/>
        <v>0</v>
      </c>
      <c r="H709" s="130">
        <f t="shared" si="217"/>
        <v>0</v>
      </c>
      <c r="I709" s="130">
        <v>0</v>
      </c>
      <c r="J709" s="14">
        <v>0</v>
      </c>
    </row>
    <row r="710" spans="1:10" customFormat="1" ht="12.75" customHeight="1" x14ac:dyDescent="0.2">
      <c r="A710" s="59"/>
      <c r="B710" s="67" t="s">
        <v>82</v>
      </c>
      <c r="C710" s="10">
        <v>250000</v>
      </c>
      <c r="D710" s="10">
        <v>250000</v>
      </c>
      <c r="E710" s="126">
        <v>4201</v>
      </c>
      <c r="F710" s="126"/>
      <c r="G710" s="126">
        <f t="shared" si="211"/>
        <v>1.6803999999999999</v>
      </c>
      <c r="H710" s="130">
        <f t="shared" si="217"/>
        <v>1.6803999999999999</v>
      </c>
      <c r="I710" s="130">
        <v>0</v>
      </c>
      <c r="J710" s="14">
        <v>0</v>
      </c>
    </row>
    <row r="711" spans="1:10" customFormat="1" ht="12.75" customHeight="1" x14ac:dyDescent="0.2">
      <c r="A711" s="59"/>
      <c r="B711" s="69" t="s">
        <v>81</v>
      </c>
      <c r="C711" s="10">
        <v>700000</v>
      </c>
      <c r="D711" s="10">
        <v>700000</v>
      </c>
      <c r="E711" s="130">
        <v>158049</v>
      </c>
      <c r="F711" s="130"/>
      <c r="G711" s="126">
        <f t="shared" si="211"/>
        <v>22.578428571428571</v>
      </c>
      <c r="H711" s="130">
        <f t="shared" si="217"/>
        <v>22.578428571428571</v>
      </c>
      <c r="I711" s="130">
        <f t="shared" si="218"/>
        <v>73.10787932613583</v>
      </c>
      <c r="J711" s="14">
        <v>216186</v>
      </c>
    </row>
    <row r="712" spans="1:10" customFormat="1" ht="12.75" customHeight="1" x14ac:dyDescent="0.2">
      <c r="A712" s="59"/>
      <c r="B712" s="67" t="s">
        <v>80</v>
      </c>
      <c r="C712" s="10">
        <v>1550000</v>
      </c>
      <c r="D712" s="10">
        <f>1550000+10700</f>
        <v>1560700</v>
      </c>
      <c r="E712" s="130">
        <v>785698</v>
      </c>
      <c r="F712" s="130"/>
      <c r="G712" s="126">
        <f t="shared" si="211"/>
        <v>50.6901935483871</v>
      </c>
      <c r="H712" s="130">
        <f t="shared" si="217"/>
        <v>50.342666752098417</v>
      </c>
      <c r="I712" s="130">
        <f t="shared" si="218"/>
        <v>106.89768707482995</v>
      </c>
      <c r="J712" s="14">
        <v>735000</v>
      </c>
    </row>
    <row r="713" spans="1:10" customFormat="1" ht="12.75" customHeight="1" x14ac:dyDescent="0.2">
      <c r="A713" s="86"/>
      <c r="B713" s="85" t="s">
        <v>79</v>
      </c>
      <c r="C713" s="10">
        <v>50000</v>
      </c>
      <c r="D713" s="10">
        <v>50000</v>
      </c>
      <c r="E713" s="130">
        <v>0</v>
      </c>
      <c r="F713" s="130"/>
      <c r="G713" s="126">
        <f t="shared" si="211"/>
        <v>0</v>
      </c>
      <c r="H713" s="130">
        <f t="shared" si="217"/>
        <v>0</v>
      </c>
      <c r="I713" s="130">
        <v>0</v>
      </c>
      <c r="J713" s="14">
        <v>0</v>
      </c>
    </row>
    <row r="714" spans="1:10" customFormat="1" ht="12.75" customHeight="1" x14ac:dyDescent="0.2">
      <c r="A714" s="76"/>
      <c r="B714" s="69" t="s">
        <v>78</v>
      </c>
      <c r="C714" s="10">
        <v>15000</v>
      </c>
      <c r="D714" s="10">
        <v>15000</v>
      </c>
      <c r="E714" s="130">
        <v>7260</v>
      </c>
      <c r="F714" s="130"/>
      <c r="G714" s="126">
        <f t="shared" si="211"/>
        <v>48.4</v>
      </c>
      <c r="H714" s="130">
        <f t="shared" si="217"/>
        <v>48.4</v>
      </c>
      <c r="I714" s="130">
        <f t="shared" si="218"/>
        <v>100</v>
      </c>
      <c r="J714" s="14">
        <v>7260</v>
      </c>
    </row>
    <row r="715" spans="1:10" customFormat="1" ht="12.75" customHeight="1" x14ac:dyDescent="0.2">
      <c r="A715" s="76"/>
      <c r="B715" s="78" t="s">
        <v>77</v>
      </c>
      <c r="C715" s="10">
        <v>35000</v>
      </c>
      <c r="D715" s="10">
        <v>35000</v>
      </c>
      <c r="E715" s="130">
        <v>0</v>
      </c>
      <c r="F715" s="130"/>
      <c r="G715" s="126">
        <f t="shared" si="211"/>
        <v>0</v>
      </c>
      <c r="H715" s="130">
        <f t="shared" si="217"/>
        <v>0</v>
      </c>
      <c r="I715" s="130">
        <v>0</v>
      </c>
      <c r="J715" s="14">
        <v>0</v>
      </c>
    </row>
    <row r="716" spans="1:10" customFormat="1" ht="12.75" customHeight="1" x14ac:dyDescent="0.2">
      <c r="A716" s="76"/>
      <c r="B716" s="67" t="s">
        <v>970</v>
      </c>
      <c r="C716" s="10">
        <v>486000</v>
      </c>
      <c r="D716" s="10">
        <f>486000+48594.03</f>
        <v>534594.03</v>
      </c>
      <c r="E716" s="130">
        <v>48594.03</v>
      </c>
      <c r="F716" s="130"/>
      <c r="G716" s="126">
        <f t="shared" si="211"/>
        <v>9.9987716049382716</v>
      </c>
      <c r="H716" s="130">
        <f t="shared" si="217"/>
        <v>9.0898938770416127</v>
      </c>
      <c r="I716" s="130">
        <v>0</v>
      </c>
      <c r="J716" s="14">
        <v>0</v>
      </c>
    </row>
    <row r="717" spans="1:10" customFormat="1" ht="12.75" customHeight="1" x14ac:dyDescent="0.2">
      <c r="A717" s="76"/>
      <c r="B717" s="69" t="s">
        <v>76</v>
      </c>
      <c r="C717" s="10">
        <f>C718+C725+C735</f>
        <v>8242000</v>
      </c>
      <c r="D717" s="10">
        <f>D718+D725+D735</f>
        <v>7892000</v>
      </c>
      <c r="E717" s="130">
        <v>3126964.86</v>
      </c>
      <c r="F717" s="10">
        <f>SUM(E718,E725,E735)</f>
        <v>3126964.8600000003</v>
      </c>
      <c r="G717" s="126">
        <f>E717/C717*100</f>
        <v>37.939394079107011</v>
      </c>
      <c r="H717" s="130">
        <f>E717/D717*100</f>
        <v>39.62195717181956</v>
      </c>
      <c r="I717" s="130">
        <f>E717/J717*100</f>
        <v>245.54309422781691</v>
      </c>
      <c r="J717" s="14">
        <v>1273489.23</v>
      </c>
    </row>
    <row r="718" spans="1:10" customFormat="1" ht="12.75" customHeight="1" x14ac:dyDescent="0.2">
      <c r="A718" s="59"/>
      <c r="B718" s="84" t="s">
        <v>75</v>
      </c>
      <c r="C718" s="83">
        <f>C719+C720</f>
        <v>4742000</v>
      </c>
      <c r="D718" s="83">
        <f>D719+D720</f>
        <v>4342000</v>
      </c>
      <c r="E718" s="499">
        <v>2514420.7000000002</v>
      </c>
      <c r="F718" s="499">
        <f>SUM(E719:E720)</f>
        <v>2514420.7000000002</v>
      </c>
      <c r="G718" s="501">
        <f t="shared" si="211"/>
        <v>53.02447701391818</v>
      </c>
      <c r="H718" s="130">
        <f t="shared" si="217"/>
        <v>57.909274527867346</v>
      </c>
      <c r="I718" s="499">
        <f t="shared" si="218"/>
        <v>235.10419736172889</v>
      </c>
      <c r="J718" s="14">
        <v>1069492.05</v>
      </c>
    </row>
    <row r="719" spans="1:10" customFormat="1" ht="12.75" customHeight="1" x14ac:dyDescent="0.2">
      <c r="A719" s="59"/>
      <c r="B719" s="69" t="s">
        <v>74</v>
      </c>
      <c r="C719" s="10">
        <v>1500000</v>
      </c>
      <c r="D719" s="10">
        <v>1500000</v>
      </c>
      <c r="E719" s="130">
        <v>274123.81</v>
      </c>
      <c r="F719" s="130"/>
      <c r="G719" s="126">
        <f t="shared" si="211"/>
        <v>18.274920666666667</v>
      </c>
      <c r="H719" s="130">
        <f t="shared" si="217"/>
        <v>18.274920666666667</v>
      </c>
      <c r="I719" s="130">
        <f t="shared" si="218"/>
        <v>25.631215304498987</v>
      </c>
      <c r="J719" s="14">
        <v>1069492.05</v>
      </c>
    </row>
    <row r="720" spans="1:10" customFormat="1" ht="12.75" customHeight="1" x14ac:dyDescent="0.2">
      <c r="A720" s="59"/>
      <c r="B720" s="69" t="s">
        <v>73</v>
      </c>
      <c r="C720" s="10">
        <f xml:space="preserve"> SUM(C721:C724)</f>
        <v>3242000</v>
      </c>
      <c r="D720" s="10">
        <f xml:space="preserve"> SUM(D721:D724)</f>
        <v>2842000</v>
      </c>
      <c r="E720" s="130">
        <v>2240296.89</v>
      </c>
      <c r="F720" s="130">
        <f>SUM(E721:E724)</f>
        <v>2240296.89</v>
      </c>
      <c r="G720" s="126">
        <f t="shared" si="211"/>
        <v>69.102309993830971</v>
      </c>
      <c r="H720" s="130">
        <f t="shared" si="217"/>
        <v>78.828180506685442</v>
      </c>
      <c r="I720" s="130">
        <v>0</v>
      </c>
      <c r="J720" s="14">
        <v>0</v>
      </c>
    </row>
    <row r="721" spans="1:10" s="73" customFormat="1" ht="12.75" customHeight="1" x14ac:dyDescent="0.2">
      <c r="A721" s="76"/>
      <c r="B721" s="77" t="s">
        <v>72</v>
      </c>
      <c r="C721" s="10">
        <v>2192000</v>
      </c>
      <c r="D721" s="10">
        <v>2192000</v>
      </c>
      <c r="E721" s="127">
        <v>2152841.91</v>
      </c>
      <c r="F721" s="127"/>
      <c r="G721" s="126">
        <f t="shared" si="211"/>
        <v>98.213590784671538</v>
      </c>
      <c r="H721" s="130">
        <f t="shared" si="217"/>
        <v>98.213590784671538</v>
      </c>
      <c r="I721" s="130">
        <v>0</v>
      </c>
      <c r="J721" s="14">
        <v>0</v>
      </c>
    </row>
    <row r="722" spans="1:10" s="73" customFormat="1" ht="12.75" customHeight="1" x14ac:dyDescent="0.2">
      <c r="A722" s="76"/>
      <c r="B722" s="81" t="s">
        <v>71</v>
      </c>
      <c r="C722" s="80">
        <v>600000</v>
      </c>
      <c r="D722" s="80">
        <f>600000-400000</f>
        <v>200000</v>
      </c>
      <c r="E722" s="718">
        <v>87454.98</v>
      </c>
      <c r="F722" s="531"/>
      <c r="G722" s="126">
        <f t="shared" si="211"/>
        <v>14.575829999999998</v>
      </c>
      <c r="H722" s="130">
        <f t="shared" si="217"/>
        <v>43.727489999999996</v>
      </c>
      <c r="I722" s="130">
        <v>0</v>
      </c>
      <c r="J722" s="6">
        <v>0</v>
      </c>
    </row>
    <row r="723" spans="1:10" s="73" customFormat="1" ht="12.75" customHeight="1" x14ac:dyDescent="0.2">
      <c r="A723" s="76"/>
      <c r="B723" s="81" t="s">
        <v>70</v>
      </c>
      <c r="C723" s="80">
        <v>200000</v>
      </c>
      <c r="D723" s="80">
        <v>200000</v>
      </c>
      <c r="E723" s="719">
        <v>0</v>
      </c>
      <c r="F723" s="496"/>
      <c r="G723" s="126">
        <f t="shared" si="211"/>
        <v>0</v>
      </c>
      <c r="H723" s="130">
        <f t="shared" si="217"/>
        <v>0</v>
      </c>
      <c r="I723" s="130">
        <v>0</v>
      </c>
      <c r="J723" s="14">
        <v>0</v>
      </c>
    </row>
    <row r="724" spans="1:10" s="73" customFormat="1" ht="12.75" customHeight="1" x14ac:dyDescent="0.2">
      <c r="A724" s="76"/>
      <c r="B724" s="81" t="s">
        <v>69</v>
      </c>
      <c r="C724" s="80">
        <v>250000</v>
      </c>
      <c r="D724" s="80">
        <v>250000</v>
      </c>
      <c r="E724" s="719">
        <v>0</v>
      </c>
      <c r="F724" s="496"/>
      <c r="G724" s="126">
        <f t="shared" ref="G724" si="219">E724/C724*100</f>
        <v>0</v>
      </c>
      <c r="H724" s="130">
        <f t="shared" ref="H724" si="220">E724/D724*100</f>
        <v>0</v>
      </c>
      <c r="I724" s="130">
        <v>0</v>
      </c>
      <c r="J724" s="6">
        <v>0</v>
      </c>
    </row>
    <row r="725" spans="1:10" s="73" customFormat="1" ht="12.75" customHeight="1" x14ac:dyDescent="0.2">
      <c r="A725" s="59"/>
      <c r="B725" s="69" t="s">
        <v>68</v>
      </c>
      <c r="C725" s="79">
        <f>SUM(C726:C727)</f>
        <v>2700000</v>
      </c>
      <c r="D725" s="79">
        <f>SUM(D726:D727)</f>
        <v>2750000</v>
      </c>
      <c r="E725" s="720">
        <v>471583.15</v>
      </c>
      <c r="F725" s="720">
        <f>SUM(E726:E727)</f>
        <v>471583.15</v>
      </c>
      <c r="G725" s="501">
        <f t="shared" si="211"/>
        <v>17.466042592592594</v>
      </c>
      <c r="H725" s="130">
        <f t="shared" si="217"/>
        <v>17.148478181818184</v>
      </c>
      <c r="I725" s="499">
        <f t="shared" ref="I725:I768" si="221">E725/J725*100</f>
        <v>231.17140638904914</v>
      </c>
      <c r="J725" s="14">
        <v>203997.18</v>
      </c>
    </row>
    <row r="726" spans="1:10" s="73" customFormat="1" ht="12.75" customHeight="1" x14ac:dyDescent="0.2">
      <c r="A726" s="59"/>
      <c r="B726" s="69" t="s">
        <v>67</v>
      </c>
      <c r="C726" s="52">
        <v>600000</v>
      </c>
      <c r="D726" s="52">
        <v>600000</v>
      </c>
      <c r="E726" s="719">
        <v>459664.65</v>
      </c>
      <c r="F726" s="496"/>
      <c r="G726" s="126">
        <f t="shared" si="211"/>
        <v>76.610775000000004</v>
      </c>
      <c r="H726" s="130">
        <f t="shared" si="217"/>
        <v>76.610775000000004</v>
      </c>
      <c r="I726" s="130">
        <f t="shared" si="221"/>
        <v>253.61769574383314</v>
      </c>
      <c r="J726" s="6">
        <v>181243.13</v>
      </c>
    </row>
    <row r="727" spans="1:10" s="73" customFormat="1" ht="12.75" customHeight="1" x14ac:dyDescent="0.2">
      <c r="A727" s="59"/>
      <c r="B727" s="69" t="s">
        <v>66</v>
      </c>
      <c r="C727" s="52">
        <f>SUM(C728:C734)</f>
        <v>2100000</v>
      </c>
      <c r="D727" s="52">
        <f>SUM(D728:D734)</f>
        <v>2150000</v>
      </c>
      <c r="E727" s="719">
        <v>11918.5</v>
      </c>
      <c r="F727" s="206">
        <f>SUM(E728:E733)</f>
        <v>11918.5</v>
      </c>
      <c r="G727" s="126">
        <f t="shared" ref="G727:G775" si="222">E727/C727*100</f>
        <v>0.56754761904761908</v>
      </c>
      <c r="H727" s="130">
        <f t="shared" si="217"/>
        <v>0.55434883720930228</v>
      </c>
      <c r="I727" s="130">
        <v>0</v>
      </c>
      <c r="J727" s="14">
        <v>0</v>
      </c>
    </row>
    <row r="728" spans="1:10" customFormat="1" ht="12.75" customHeight="1" x14ac:dyDescent="0.2">
      <c r="A728" s="76"/>
      <c r="B728" s="78" t="s">
        <v>65</v>
      </c>
      <c r="C728" s="64">
        <v>500000</v>
      </c>
      <c r="D728" s="64">
        <f>500000-300000</f>
        <v>200000</v>
      </c>
      <c r="E728" s="719">
        <v>0</v>
      </c>
      <c r="F728" s="496"/>
      <c r="G728" s="126">
        <f t="shared" si="222"/>
        <v>0</v>
      </c>
      <c r="H728" s="130">
        <f t="shared" si="217"/>
        <v>0</v>
      </c>
      <c r="I728" s="130">
        <v>0</v>
      </c>
      <c r="J728" s="6">
        <v>0</v>
      </c>
    </row>
    <row r="729" spans="1:10" customFormat="1" ht="12.75" customHeight="1" x14ac:dyDescent="0.2">
      <c r="A729" s="76"/>
      <c r="B729" s="72" t="s">
        <v>64</v>
      </c>
      <c r="C729" s="52">
        <v>100000</v>
      </c>
      <c r="D729" s="52">
        <v>100000</v>
      </c>
      <c r="E729" s="719">
        <v>0</v>
      </c>
      <c r="F729" s="496"/>
      <c r="G729" s="126">
        <f t="shared" si="222"/>
        <v>0</v>
      </c>
      <c r="H729" s="130">
        <f t="shared" si="217"/>
        <v>0</v>
      </c>
      <c r="I729" s="130">
        <v>0</v>
      </c>
      <c r="J729" s="14">
        <v>0</v>
      </c>
    </row>
    <row r="730" spans="1:10" s="73" customFormat="1" ht="12.75" customHeight="1" x14ac:dyDescent="0.2">
      <c r="A730" s="76"/>
      <c r="B730" s="78" t="s">
        <v>63</v>
      </c>
      <c r="C730" s="52">
        <v>200000</v>
      </c>
      <c r="D730" s="52">
        <v>200000</v>
      </c>
      <c r="E730" s="719">
        <v>0</v>
      </c>
      <c r="F730" s="496"/>
      <c r="G730" s="126">
        <f t="shared" si="222"/>
        <v>0</v>
      </c>
      <c r="H730" s="130">
        <f t="shared" si="217"/>
        <v>0</v>
      </c>
      <c r="I730" s="130">
        <v>0</v>
      </c>
      <c r="J730" s="14">
        <v>0</v>
      </c>
    </row>
    <row r="731" spans="1:10" s="73" customFormat="1" ht="12.75" customHeight="1" x14ac:dyDescent="0.2">
      <c r="A731" s="76"/>
      <c r="B731" s="72" t="s">
        <v>62</v>
      </c>
      <c r="C731" s="9">
        <v>200000</v>
      </c>
      <c r="D731" s="9">
        <v>200000</v>
      </c>
      <c r="E731" s="719">
        <v>0</v>
      </c>
      <c r="F731" s="496"/>
      <c r="G731" s="126">
        <f t="shared" si="222"/>
        <v>0</v>
      </c>
      <c r="H731" s="130">
        <f t="shared" si="217"/>
        <v>0</v>
      </c>
      <c r="I731" s="130">
        <v>0</v>
      </c>
      <c r="J731" s="14">
        <v>0</v>
      </c>
    </row>
    <row r="732" spans="1:10" s="73" customFormat="1" ht="12.75" customHeight="1" x14ac:dyDescent="0.2">
      <c r="A732" s="76"/>
      <c r="B732" s="72" t="s">
        <v>61</v>
      </c>
      <c r="C732" s="10">
        <v>300000</v>
      </c>
      <c r="D732" s="10">
        <v>300000</v>
      </c>
      <c r="E732" s="719">
        <v>11918.5</v>
      </c>
      <c r="F732" s="496"/>
      <c r="G732" s="126">
        <f t="shared" si="222"/>
        <v>3.972833333333333</v>
      </c>
      <c r="H732" s="130">
        <f t="shared" si="217"/>
        <v>3.972833333333333</v>
      </c>
      <c r="I732" s="130">
        <f t="shared" si="221"/>
        <v>52.379686253655947</v>
      </c>
      <c r="J732" s="6">
        <v>22754.05</v>
      </c>
    </row>
    <row r="733" spans="1:10" s="73" customFormat="1" ht="12.75" customHeight="1" x14ac:dyDescent="0.2">
      <c r="A733" s="76"/>
      <c r="B733" s="77" t="s">
        <v>60</v>
      </c>
      <c r="C733" s="9">
        <v>800000</v>
      </c>
      <c r="D733" s="9">
        <v>800000</v>
      </c>
      <c r="E733" s="719">
        <v>0</v>
      </c>
      <c r="F733" s="496"/>
      <c r="G733" s="126">
        <f t="shared" si="222"/>
        <v>0</v>
      </c>
      <c r="H733" s="130">
        <f t="shared" si="217"/>
        <v>0</v>
      </c>
      <c r="I733" s="130">
        <v>0</v>
      </c>
      <c r="J733" s="14">
        <v>0</v>
      </c>
    </row>
    <row r="734" spans="1:10" s="73" customFormat="1" ht="12.75" customHeight="1" x14ac:dyDescent="0.2">
      <c r="A734" s="76"/>
      <c r="B734" s="81" t="s">
        <v>971</v>
      </c>
      <c r="C734" s="80">
        <v>0</v>
      </c>
      <c r="D734" s="80">
        <v>350000</v>
      </c>
      <c r="E734" s="719">
        <v>0</v>
      </c>
      <c r="F734" s="496"/>
      <c r="G734" s="126">
        <v>0</v>
      </c>
      <c r="H734" s="130">
        <f>E734/D734*100</f>
        <v>0</v>
      </c>
      <c r="I734" s="130">
        <v>0</v>
      </c>
      <c r="J734" s="6">
        <v>0</v>
      </c>
    </row>
    <row r="735" spans="1:10" s="73" customFormat="1" ht="12.75" customHeight="1" x14ac:dyDescent="0.2">
      <c r="A735" s="59"/>
      <c r="B735" s="74" t="s">
        <v>59</v>
      </c>
      <c r="C735" s="64">
        <f>SUM(C736:C740)</f>
        <v>800000</v>
      </c>
      <c r="D735" s="64">
        <f>SUM(D736:D740)</f>
        <v>800000</v>
      </c>
      <c r="E735" s="719">
        <v>140961.01</v>
      </c>
      <c r="F735" s="206">
        <f>SUM(E736:E740)</f>
        <v>140961.01</v>
      </c>
      <c r="G735" s="126">
        <f t="shared" si="222"/>
        <v>17.620126250000002</v>
      </c>
      <c r="H735" s="130">
        <f t="shared" si="217"/>
        <v>17.620126250000002</v>
      </c>
      <c r="I735" s="130">
        <v>0</v>
      </c>
      <c r="J735" s="14">
        <v>0</v>
      </c>
    </row>
    <row r="736" spans="1:10" s="73" customFormat="1" ht="12.75" customHeight="1" x14ac:dyDescent="0.2">
      <c r="A736" s="59"/>
      <c r="B736" s="72" t="s">
        <v>58</v>
      </c>
      <c r="C736" s="64">
        <v>100000</v>
      </c>
      <c r="D736" s="64">
        <v>100000</v>
      </c>
      <c r="E736" s="719">
        <v>0</v>
      </c>
      <c r="F736" s="496"/>
      <c r="G736" s="126">
        <f t="shared" si="222"/>
        <v>0</v>
      </c>
      <c r="H736" s="130">
        <f t="shared" si="217"/>
        <v>0</v>
      </c>
      <c r="I736" s="130">
        <v>0</v>
      </c>
      <c r="J736" s="6">
        <v>0</v>
      </c>
    </row>
    <row r="737" spans="1:107" s="73" customFormat="1" ht="12.75" customHeight="1" x14ac:dyDescent="0.2">
      <c r="A737" s="59"/>
      <c r="B737" s="72" t="s">
        <v>57</v>
      </c>
      <c r="C737" s="64">
        <v>300000</v>
      </c>
      <c r="D737" s="64">
        <v>300000</v>
      </c>
      <c r="E737" s="719">
        <v>0</v>
      </c>
      <c r="F737" s="496"/>
      <c r="G737" s="126">
        <f t="shared" si="222"/>
        <v>0</v>
      </c>
      <c r="H737" s="130">
        <f t="shared" si="217"/>
        <v>0</v>
      </c>
      <c r="I737" s="130">
        <v>0</v>
      </c>
      <c r="J737" s="14">
        <v>0</v>
      </c>
    </row>
    <row r="738" spans="1:107" s="73" customFormat="1" ht="12.75" customHeight="1" x14ac:dyDescent="0.2">
      <c r="A738" s="59"/>
      <c r="B738" s="72" t="s">
        <v>56</v>
      </c>
      <c r="C738" s="64">
        <v>100000</v>
      </c>
      <c r="D738" s="64">
        <v>100000</v>
      </c>
      <c r="E738" s="719">
        <v>0</v>
      </c>
      <c r="F738" s="496"/>
      <c r="G738" s="126">
        <f t="shared" si="222"/>
        <v>0</v>
      </c>
      <c r="H738" s="130">
        <f t="shared" si="217"/>
        <v>0</v>
      </c>
      <c r="I738" s="130">
        <v>0</v>
      </c>
      <c r="J738" s="6">
        <v>0</v>
      </c>
    </row>
    <row r="739" spans="1:107" customFormat="1" ht="12.75" customHeight="1" x14ac:dyDescent="0.2">
      <c r="A739" s="59"/>
      <c r="B739" s="72" t="s">
        <v>55</v>
      </c>
      <c r="C739" s="52">
        <v>0</v>
      </c>
      <c r="D739" s="52">
        <v>0</v>
      </c>
      <c r="E739" s="719">
        <v>0</v>
      </c>
      <c r="F739" s="496"/>
      <c r="G739" s="126">
        <v>0</v>
      </c>
      <c r="H739" s="130">
        <v>0</v>
      </c>
      <c r="I739" s="130">
        <v>0</v>
      </c>
      <c r="J739" s="14">
        <v>0</v>
      </c>
    </row>
    <row r="740" spans="1:107" customFormat="1" ht="12.75" customHeight="1" x14ac:dyDescent="0.2">
      <c r="A740" s="71"/>
      <c r="B740" s="72" t="s">
        <v>54</v>
      </c>
      <c r="C740" s="52">
        <v>300000</v>
      </c>
      <c r="D740" s="52">
        <v>300000</v>
      </c>
      <c r="E740" s="719">
        <v>140961.01</v>
      </c>
      <c r="F740" s="496"/>
      <c r="G740" s="126">
        <f t="shared" si="222"/>
        <v>46.987003333333341</v>
      </c>
      <c r="H740" s="130">
        <f t="shared" si="217"/>
        <v>46.987003333333341</v>
      </c>
      <c r="I740" s="130">
        <v>0</v>
      </c>
      <c r="J740" s="6">
        <v>0</v>
      </c>
    </row>
    <row r="741" spans="1:107" customFormat="1" ht="12.75" customHeight="1" x14ac:dyDescent="0.2">
      <c r="A741" s="71">
        <v>3634</v>
      </c>
      <c r="B741" s="58" t="s">
        <v>53</v>
      </c>
      <c r="C741" s="63">
        <f>SUM(C742:C746)</f>
        <v>28550000</v>
      </c>
      <c r="D741" s="63">
        <f>SUM(D742:D746)</f>
        <v>16100000</v>
      </c>
      <c r="E741" s="715">
        <v>952392.94</v>
      </c>
      <c r="F741" s="206">
        <f>SUM(E742:E746)</f>
        <v>952392.94</v>
      </c>
      <c r="G741" s="120">
        <f>E741/C741*100</f>
        <v>3.3358771978984239</v>
      </c>
      <c r="H741" s="121">
        <f>E741/D741*100</f>
        <v>5.9154840993788813</v>
      </c>
      <c r="I741" s="121">
        <f>E741/J741*100</f>
        <v>105.71974243353954</v>
      </c>
      <c r="J741" s="14">
        <v>900865.74</v>
      </c>
    </row>
    <row r="742" spans="1:107" customFormat="1" ht="12.75" customHeight="1" x14ac:dyDescent="0.2">
      <c r="A742" s="59"/>
      <c r="B742" s="67" t="s">
        <v>52</v>
      </c>
      <c r="C742" s="10">
        <v>200000</v>
      </c>
      <c r="D742" s="10">
        <v>200000</v>
      </c>
      <c r="E742" s="206">
        <v>59592.37</v>
      </c>
      <c r="F742" s="496"/>
      <c r="G742" s="126">
        <f t="shared" si="222"/>
        <v>29.796185000000001</v>
      </c>
      <c r="H742" s="130">
        <f t="shared" si="217"/>
        <v>29.796185000000001</v>
      </c>
      <c r="I742" s="130">
        <f t="shared" si="221"/>
        <v>62.745910438118344</v>
      </c>
      <c r="J742" s="6">
        <v>94974.11</v>
      </c>
      <c r="K742" s="68"/>
      <c r="L742" s="68"/>
      <c r="M742" s="68"/>
      <c r="N742" s="68"/>
      <c r="O742" s="68"/>
      <c r="P742" s="68"/>
      <c r="Q742" s="68"/>
      <c r="R742" s="68"/>
      <c r="S742" s="68"/>
      <c r="T742" s="68"/>
      <c r="U742" s="68"/>
      <c r="V742" s="68"/>
      <c r="W742" s="68"/>
      <c r="X742" s="68"/>
      <c r="Y742" s="68"/>
      <c r="Z742" s="68"/>
      <c r="AA742" s="68"/>
      <c r="AB742" s="68"/>
      <c r="AC742" s="68"/>
      <c r="AD742" s="68"/>
      <c r="AE742" s="68"/>
      <c r="AF742" s="68"/>
      <c r="AG742" s="68"/>
      <c r="AH742" s="68"/>
      <c r="AI742" s="68"/>
      <c r="AJ742" s="68"/>
      <c r="AK742" s="68"/>
      <c r="AL742" s="68"/>
      <c r="AM742" s="68"/>
      <c r="AN742" s="68"/>
      <c r="AO742" s="68"/>
      <c r="AP742" s="68"/>
      <c r="AQ742" s="68"/>
      <c r="AR742" s="68"/>
      <c r="AS742" s="68"/>
      <c r="AT742" s="68"/>
      <c r="AU742" s="68"/>
      <c r="AV742" s="68"/>
      <c r="AW742" s="68"/>
      <c r="AX742" s="68"/>
      <c r="AY742" s="68"/>
      <c r="AZ742" s="68"/>
      <c r="BA742" s="68"/>
      <c r="BB742" s="68"/>
      <c r="BC742" s="68"/>
      <c r="BD742" s="68"/>
      <c r="BE742" s="68"/>
      <c r="BF742" s="68"/>
      <c r="BG742" s="68"/>
      <c r="BH742" s="68"/>
      <c r="BI742" s="68"/>
      <c r="BJ742" s="68"/>
      <c r="BK742" s="68"/>
      <c r="BL742" s="68"/>
      <c r="BM742" s="68"/>
      <c r="BN742" s="68"/>
      <c r="BO742" s="68"/>
      <c r="BP742" s="68"/>
      <c r="BQ742" s="68"/>
      <c r="BR742" s="68"/>
      <c r="BS742" s="68"/>
      <c r="BT742" s="68"/>
      <c r="BU742" s="68"/>
      <c r="BV742" s="68"/>
      <c r="BW742" s="68"/>
      <c r="BX742" s="68"/>
      <c r="BY742" s="68"/>
      <c r="BZ742" s="68"/>
      <c r="CA742" s="68"/>
      <c r="CB742" s="68"/>
      <c r="CC742" s="68"/>
      <c r="CD742" s="68"/>
      <c r="CE742" s="68"/>
      <c r="CF742" s="68"/>
      <c r="CG742" s="68"/>
      <c r="CH742" s="68"/>
      <c r="CI742" s="68"/>
      <c r="CJ742" s="68"/>
      <c r="CK742" s="68"/>
      <c r="CL742" s="68"/>
      <c r="CM742" s="68"/>
      <c r="CN742" s="68"/>
      <c r="CO742" s="68"/>
      <c r="CP742" s="68"/>
      <c r="CQ742" s="68"/>
      <c r="CR742" s="68"/>
      <c r="CS742" s="68"/>
      <c r="CT742" s="68"/>
      <c r="CU742" s="68"/>
      <c r="CV742" s="68"/>
      <c r="CW742" s="68"/>
      <c r="CX742" s="68"/>
      <c r="CY742" s="68"/>
      <c r="CZ742" s="68"/>
      <c r="DA742" s="68"/>
      <c r="DB742" s="68"/>
      <c r="DC742" s="68"/>
    </row>
    <row r="743" spans="1:107" customFormat="1" ht="12.75" customHeight="1" x14ac:dyDescent="0.2">
      <c r="A743" s="59"/>
      <c r="B743" s="67" t="s">
        <v>792</v>
      </c>
      <c r="C743" s="52">
        <v>500000</v>
      </c>
      <c r="D743" s="52">
        <v>500000</v>
      </c>
      <c r="E743" s="721">
        <v>0</v>
      </c>
      <c r="F743" s="496"/>
      <c r="G743" s="126">
        <f t="shared" si="222"/>
        <v>0</v>
      </c>
      <c r="H743" s="130">
        <f t="shared" si="217"/>
        <v>0</v>
      </c>
      <c r="I743" s="130">
        <v>0</v>
      </c>
      <c r="J743" s="14">
        <v>0</v>
      </c>
      <c r="K743" s="68"/>
      <c r="L743" s="68"/>
      <c r="M743" s="68"/>
      <c r="N743" s="68"/>
      <c r="O743" s="68"/>
      <c r="P743" s="68"/>
      <c r="Q743" s="68"/>
      <c r="R743" s="68"/>
      <c r="S743" s="68"/>
      <c r="T743" s="68"/>
      <c r="U743" s="68"/>
      <c r="V743" s="68"/>
      <c r="W743" s="68"/>
      <c r="X743" s="68"/>
      <c r="Y743" s="68"/>
      <c r="Z743" s="68"/>
      <c r="AA743" s="68"/>
      <c r="AB743" s="68"/>
      <c r="AC743" s="68"/>
      <c r="AD743" s="68"/>
      <c r="AE743" s="68"/>
      <c r="AF743" s="68"/>
      <c r="AG743" s="68"/>
      <c r="AH743" s="68"/>
      <c r="AI743" s="68"/>
      <c r="AJ743" s="68"/>
      <c r="AK743" s="68"/>
      <c r="AL743" s="68"/>
      <c r="AM743" s="68"/>
      <c r="AN743" s="68"/>
      <c r="AO743" s="68"/>
      <c r="AP743" s="68"/>
      <c r="AQ743" s="68"/>
      <c r="AR743" s="68"/>
      <c r="AS743" s="68"/>
      <c r="AT743" s="68"/>
      <c r="AU743" s="68"/>
      <c r="AV743" s="68"/>
      <c r="AW743" s="68"/>
      <c r="AX743" s="68"/>
      <c r="AY743" s="68"/>
      <c r="AZ743" s="68"/>
      <c r="BA743" s="68"/>
      <c r="BB743" s="68"/>
      <c r="BC743" s="68"/>
      <c r="BD743" s="68"/>
      <c r="BE743" s="68"/>
      <c r="BF743" s="68"/>
      <c r="BG743" s="68"/>
      <c r="BH743" s="68"/>
      <c r="BI743" s="68"/>
      <c r="BJ743" s="68"/>
      <c r="BK743" s="68"/>
      <c r="BL743" s="68"/>
      <c r="BM743" s="68"/>
      <c r="BN743" s="68"/>
      <c r="BO743" s="68"/>
      <c r="BP743" s="68"/>
      <c r="BQ743" s="68"/>
      <c r="BR743" s="68"/>
      <c r="BS743" s="68"/>
      <c r="BT743" s="68"/>
      <c r="BU743" s="68"/>
      <c r="BV743" s="68"/>
      <c r="BW743" s="68"/>
      <c r="BX743" s="68"/>
      <c r="BY743" s="68"/>
      <c r="BZ743" s="68"/>
      <c r="CA743" s="68"/>
      <c r="CB743" s="68"/>
      <c r="CC743" s="68"/>
      <c r="CD743" s="68"/>
      <c r="CE743" s="68"/>
      <c r="CF743" s="68"/>
      <c r="CG743" s="68"/>
      <c r="CH743" s="68"/>
      <c r="CI743" s="68"/>
      <c r="CJ743" s="68"/>
      <c r="CK743" s="68"/>
      <c r="CL743" s="68"/>
      <c r="CM743" s="68"/>
      <c r="CN743" s="68"/>
      <c r="CO743" s="68"/>
      <c r="CP743" s="68"/>
      <c r="CQ743" s="68"/>
      <c r="CR743" s="68"/>
      <c r="CS743" s="68"/>
      <c r="CT743" s="68"/>
      <c r="CU743" s="68"/>
      <c r="CV743" s="68"/>
      <c r="CW743" s="68"/>
      <c r="CX743" s="68"/>
      <c r="CY743" s="68"/>
      <c r="CZ743" s="68"/>
      <c r="DA743" s="68"/>
      <c r="DB743" s="68"/>
      <c r="DC743" s="68"/>
    </row>
    <row r="744" spans="1:107" s="70" customFormat="1" ht="12.75" customHeight="1" x14ac:dyDescent="0.2">
      <c r="A744" s="59"/>
      <c r="B744" s="69" t="s">
        <v>51</v>
      </c>
      <c r="C744" s="64">
        <v>600000</v>
      </c>
      <c r="D744" s="64">
        <v>600000</v>
      </c>
      <c r="E744" s="721">
        <v>0</v>
      </c>
      <c r="F744" s="496"/>
      <c r="G744" s="126">
        <f t="shared" si="222"/>
        <v>0</v>
      </c>
      <c r="H744" s="130">
        <f t="shared" si="217"/>
        <v>0</v>
      </c>
      <c r="I744" s="130">
        <f t="shared" si="221"/>
        <v>0</v>
      </c>
      <c r="J744" s="6">
        <v>42229.08</v>
      </c>
      <c r="K744" s="68"/>
      <c r="L744" s="68"/>
      <c r="M744" s="68"/>
      <c r="N744" s="68"/>
      <c r="O744" s="68"/>
      <c r="P744" s="68"/>
      <c r="Q744" s="68"/>
      <c r="R744" s="68"/>
      <c r="S744" s="68"/>
      <c r="T744" s="68"/>
      <c r="U744" s="68"/>
      <c r="V744" s="68"/>
      <c r="W744" s="68"/>
      <c r="X744" s="68"/>
      <c r="Y744" s="68"/>
      <c r="Z744" s="68"/>
      <c r="AA744" s="68"/>
      <c r="AB744" s="68"/>
      <c r="AC744" s="68"/>
      <c r="AD744" s="68"/>
      <c r="AE744" s="68"/>
      <c r="AF744" s="68"/>
      <c r="AG744" s="68"/>
      <c r="AH744" s="68"/>
      <c r="AI744" s="68"/>
      <c r="AJ744" s="68"/>
      <c r="AK744" s="68"/>
      <c r="AL744" s="68"/>
      <c r="AM744" s="68"/>
      <c r="AN744" s="68"/>
      <c r="AO744" s="68"/>
      <c r="AP744" s="68"/>
      <c r="AQ744" s="68"/>
      <c r="AR744" s="68"/>
      <c r="AS744" s="68"/>
      <c r="AT744" s="68"/>
      <c r="AU744" s="68"/>
      <c r="AV744" s="68"/>
      <c r="AW744" s="68"/>
      <c r="AX744" s="68"/>
      <c r="AY744" s="68"/>
      <c r="AZ744" s="68"/>
      <c r="BA744" s="68"/>
      <c r="BB744" s="68"/>
      <c r="BC744" s="68"/>
      <c r="BD744" s="68"/>
      <c r="BE744" s="68"/>
      <c r="BF744" s="68"/>
      <c r="BG744" s="68"/>
      <c r="BH744" s="68"/>
      <c r="BI744" s="68"/>
      <c r="BJ744" s="68"/>
      <c r="BK744" s="68"/>
      <c r="BL744" s="68"/>
      <c r="BM744" s="68"/>
      <c r="BN744" s="68"/>
      <c r="BO744" s="68"/>
      <c r="BP744" s="68"/>
      <c r="BQ744" s="68"/>
      <c r="BR744" s="68"/>
      <c r="BS744" s="68"/>
      <c r="BT744" s="68"/>
      <c r="BU744" s="68"/>
      <c r="BV744" s="68"/>
      <c r="BW744" s="68"/>
      <c r="BX744" s="68"/>
      <c r="BY744" s="68"/>
      <c r="BZ744" s="68"/>
      <c r="CA744" s="68"/>
      <c r="CB744" s="68"/>
      <c r="CC744" s="68"/>
      <c r="CD744" s="68"/>
      <c r="CE744" s="68"/>
      <c r="CF744" s="68"/>
      <c r="CG744" s="68"/>
      <c r="CH744" s="68"/>
      <c r="CI744" s="68"/>
      <c r="CJ744" s="68"/>
      <c r="CK744" s="68"/>
      <c r="CL744" s="68"/>
      <c r="CM744" s="68"/>
      <c r="CN744" s="68"/>
      <c r="CO744" s="68"/>
      <c r="CP744" s="68"/>
      <c r="CQ744" s="68"/>
      <c r="CR744" s="68"/>
      <c r="CS744" s="68"/>
      <c r="CT744" s="68"/>
      <c r="CU744" s="68"/>
      <c r="CV744" s="68"/>
      <c r="CW744" s="68"/>
      <c r="CX744" s="68"/>
      <c r="CY744" s="68"/>
      <c r="CZ744" s="68"/>
      <c r="DA744" s="68"/>
      <c r="DB744" s="68"/>
      <c r="DC744" s="68"/>
    </row>
    <row r="745" spans="1:107" customFormat="1" ht="12.75" customHeight="1" x14ac:dyDescent="0.2">
      <c r="A745" s="59"/>
      <c r="B745" s="67" t="s">
        <v>50</v>
      </c>
      <c r="C745" s="52">
        <v>1000000</v>
      </c>
      <c r="D745" s="52">
        <v>1000000</v>
      </c>
      <c r="E745" s="719">
        <v>715130.57</v>
      </c>
      <c r="F745" s="496"/>
      <c r="G745" s="126">
        <f t="shared" si="222"/>
        <v>71.513056999999989</v>
      </c>
      <c r="H745" s="130">
        <f t="shared" si="217"/>
        <v>71.513056999999989</v>
      </c>
      <c r="I745" s="130">
        <v>0</v>
      </c>
      <c r="J745" s="14">
        <v>0</v>
      </c>
      <c r="K745" s="68"/>
      <c r="L745" s="68"/>
      <c r="M745" s="68"/>
      <c r="N745" s="68"/>
      <c r="O745" s="68"/>
      <c r="P745" s="68"/>
      <c r="Q745" s="68"/>
      <c r="R745" s="68"/>
      <c r="S745" s="68"/>
      <c r="T745" s="68"/>
      <c r="U745" s="68"/>
      <c r="V745" s="68"/>
      <c r="W745" s="68"/>
      <c r="X745" s="68"/>
      <c r="Y745" s="68"/>
      <c r="Z745" s="68"/>
      <c r="AA745" s="68"/>
      <c r="AB745" s="68"/>
      <c r="AC745" s="68"/>
      <c r="AD745" s="68"/>
      <c r="AE745" s="68"/>
      <c r="AF745" s="68"/>
      <c r="AG745" s="68"/>
      <c r="AH745" s="68"/>
      <c r="AI745" s="68"/>
      <c r="AJ745" s="68"/>
      <c r="AK745" s="68"/>
      <c r="AL745" s="68"/>
      <c r="AM745" s="68"/>
      <c r="AN745" s="68"/>
      <c r="AO745" s="68"/>
      <c r="AP745" s="68"/>
      <c r="AQ745" s="68"/>
      <c r="AR745" s="68"/>
      <c r="AS745" s="68"/>
      <c r="AT745" s="68"/>
      <c r="AU745" s="68"/>
      <c r="AV745" s="68"/>
      <c r="AW745" s="68"/>
      <c r="AX745" s="68"/>
      <c r="AY745" s="68"/>
      <c r="AZ745" s="68"/>
      <c r="BA745" s="68"/>
      <c r="BB745" s="68"/>
      <c r="BC745" s="68"/>
      <c r="BD745" s="68"/>
      <c r="BE745" s="68"/>
      <c r="BF745" s="68"/>
      <c r="BG745" s="68"/>
      <c r="BH745" s="68"/>
      <c r="BI745" s="68"/>
      <c r="BJ745" s="68"/>
      <c r="BK745" s="68"/>
      <c r="BL745" s="68"/>
      <c r="BM745" s="68"/>
      <c r="BN745" s="68"/>
      <c r="BO745" s="68"/>
      <c r="BP745" s="68"/>
      <c r="BQ745" s="68"/>
      <c r="BR745" s="68"/>
      <c r="BS745" s="68"/>
      <c r="BT745" s="68"/>
      <c r="BU745" s="68"/>
      <c r="BV745" s="68"/>
      <c r="BW745" s="68"/>
      <c r="BX745" s="68"/>
      <c r="BY745" s="68"/>
      <c r="BZ745" s="68"/>
      <c r="CA745" s="68"/>
      <c r="CB745" s="68"/>
      <c r="CC745" s="68"/>
      <c r="CD745" s="68"/>
      <c r="CE745" s="68"/>
      <c r="CF745" s="68"/>
      <c r="CG745" s="68"/>
      <c r="CH745" s="68"/>
      <c r="CI745" s="68"/>
      <c r="CJ745" s="68"/>
      <c r="CK745" s="68"/>
      <c r="CL745" s="68"/>
      <c r="CM745" s="68"/>
      <c r="CN745" s="68"/>
      <c r="CO745" s="68"/>
      <c r="CP745" s="68"/>
      <c r="CQ745" s="68"/>
      <c r="CR745" s="68"/>
      <c r="CS745" s="68"/>
      <c r="CT745" s="68"/>
      <c r="CU745" s="68"/>
      <c r="CV745" s="68"/>
      <c r="CW745" s="68"/>
      <c r="CX745" s="68"/>
      <c r="CY745" s="68"/>
      <c r="CZ745" s="68"/>
      <c r="DA745" s="68"/>
      <c r="DB745" s="68"/>
      <c r="DC745" s="68"/>
    </row>
    <row r="746" spans="1:107" customFormat="1" ht="12.75" customHeight="1" x14ac:dyDescent="0.2">
      <c r="A746" s="54"/>
      <c r="B746" s="69" t="s">
        <v>49</v>
      </c>
      <c r="C746" s="52">
        <f>SUM(C747:C756)</f>
        <v>26250000</v>
      </c>
      <c r="D746" s="52">
        <f>SUM(D747:D756)</f>
        <v>13800000</v>
      </c>
      <c r="E746" s="719">
        <v>177670</v>
      </c>
      <c r="F746" s="206">
        <f>SUM(E747:E756)</f>
        <v>177670</v>
      </c>
      <c r="G746" s="126">
        <f t="shared" si="222"/>
        <v>0.67683809523809524</v>
      </c>
      <c r="H746" s="130">
        <f t="shared" si="217"/>
        <v>1.287463768115942</v>
      </c>
      <c r="I746" s="130">
        <f t="shared" si="221"/>
        <v>23.265511710637114</v>
      </c>
      <c r="J746" s="6">
        <v>763662.55</v>
      </c>
      <c r="K746" s="68"/>
      <c r="L746" s="68"/>
      <c r="M746" s="68"/>
      <c r="N746" s="68"/>
      <c r="O746" s="68"/>
      <c r="P746" s="68"/>
      <c r="Q746" s="68"/>
      <c r="R746" s="68"/>
      <c r="S746" s="68"/>
      <c r="T746" s="68"/>
      <c r="U746" s="68"/>
      <c r="V746" s="68"/>
      <c r="W746" s="68"/>
      <c r="X746" s="68"/>
      <c r="Y746" s="68"/>
      <c r="Z746" s="68"/>
      <c r="AA746" s="68"/>
      <c r="AB746" s="68"/>
      <c r="AC746" s="68"/>
      <c r="AD746" s="68"/>
      <c r="AE746" s="68"/>
      <c r="AF746" s="68"/>
      <c r="AG746" s="68"/>
      <c r="AH746" s="68"/>
      <c r="AI746" s="68"/>
      <c r="AJ746" s="68"/>
      <c r="AK746" s="68"/>
      <c r="AL746" s="68"/>
      <c r="AM746" s="68"/>
      <c r="AN746" s="68"/>
      <c r="AO746" s="68"/>
      <c r="AP746" s="68"/>
      <c r="AQ746" s="68"/>
      <c r="AR746" s="68"/>
      <c r="AS746" s="68"/>
      <c r="AT746" s="68"/>
      <c r="AU746" s="68"/>
      <c r="AV746" s="68"/>
      <c r="AW746" s="68"/>
      <c r="AX746" s="68"/>
      <c r="AY746" s="68"/>
      <c r="AZ746" s="68"/>
      <c r="BA746" s="68"/>
      <c r="BB746" s="68"/>
      <c r="BC746" s="68"/>
      <c r="BD746" s="68"/>
      <c r="BE746" s="68"/>
      <c r="BF746" s="68"/>
      <c r="BG746" s="68"/>
      <c r="BH746" s="68"/>
      <c r="BI746" s="68"/>
      <c r="BJ746" s="68"/>
      <c r="BK746" s="68"/>
      <c r="BL746" s="68"/>
      <c r="BM746" s="68"/>
      <c r="BN746" s="68"/>
      <c r="BO746" s="68"/>
      <c r="BP746" s="68"/>
      <c r="BQ746" s="68"/>
      <c r="BR746" s="68"/>
      <c r="BS746" s="68"/>
      <c r="BT746" s="68"/>
      <c r="BU746" s="68"/>
      <c r="BV746" s="68"/>
      <c r="BW746" s="68"/>
      <c r="BX746" s="68"/>
      <c r="BY746" s="68"/>
      <c r="BZ746" s="68"/>
      <c r="CA746" s="68"/>
      <c r="CB746" s="68"/>
      <c r="CC746" s="68"/>
      <c r="CD746" s="68"/>
      <c r="CE746" s="68"/>
      <c r="CF746" s="68"/>
      <c r="CG746" s="68"/>
      <c r="CH746" s="68"/>
      <c r="CI746" s="68"/>
      <c r="CJ746" s="68"/>
      <c r="CK746" s="68"/>
      <c r="CL746" s="68"/>
      <c r="CM746" s="68"/>
      <c r="CN746" s="68"/>
      <c r="CO746" s="68"/>
      <c r="CP746" s="68"/>
      <c r="CQ746" s="68"/>
      <c r="CR746" s="68"/>
      <c r="CS746" s="68"/>
      <c r="CT746" s="68"/>
      <c r="CU746" s="68"/>
      <c r="CV746" s="68"/>
      <c r="CW746" s="68"/>
      <c r="CX746" s="68"/>
      <c r="CY746" s="68"/>
      <c r="CZ746" s="68"/>
      <c r="DA746" s="68"/>
      <c r="DB746" s="68"/>
      <c r="DC746" s="68"/>
    </row>
    <row r="747" spans="1:107" customFormat="1" ht="12.75" customHeight="1" x14ac:dyDescent="0.2">
      <c r="A747" s="54"/>
      <c r="B747" s="67" t="s">
        <v>48</v>
      </c>
      <c r="C747" s="10">
        <v>900000</v>
      </c>
      <c r="D747" s="10">
        <v>900000</v>
      </c>
      <c r="E747" s="719">
        <v>153670</v>
      </c>
      <c r="F747" s="496"/>
      <c r="G747" s="126">
        <f t="shared" si="222"/>
        <v>17.074444444444445</v>
      </c>
      <c r="H747" s="130">
        <f t="shared" si="217"/>
        <v>17.074444444444445</v>
      </c>
      <c r="I747" s="130">
        <v>0</v>
      </c>
      <c r="J747" s="6">
        <v>0</v>
      </c>
    </row>
    <row r="748" spans="1:107" s="2" customFormat="1" ht="12.75" customHeight="1" x14ac:dyDescent="0.2">
      <c r="A748" s="54"/>
      <c r="B748" s="66" t="s">
        <v>47</v>
      </c>
      <c r="C748" s="64">
        <v>200000</v>
      </c>
      <c r="D748" s="64">
        <v>200000</v>
      </c>
      <c r="E748" s="719">
        <v>0</v>
      </c>
      <c r="F748" s="496"/>
      <c r="G748" s="126">
        <f t="shared" si="222"/>
        <v>0</v>
      </c>
      <c r="H748" s="130">
        <f t="shared" ref="H748:H775" si="223">E748/D748*100</f>
        <v>0</v>
      </c>
      <c r="I748" s="130">
        <v>0</v>
      </c>
      <c r="J748" s="14">
        <v>0</v>
      </c>
    </row>
    <row r="749" spans="1:107" s="2" customFormat="1" ht="12.75" customHeight="1" x14ac:dyDescent="0.2">
      <c r="A749" s="54"/>
      <c r="B749" s="65" t="s">
        <v>46</v>
      </c>
      <c r="C749" s="64">
        <v>4750000</v>
      </c>
      <c r="D749" s="64">
        <v>1450000</v>
      </c>
      <c r="E749" s="719">
        <v>0</v>
      </c>
      <c r="F749" s="496"/>
      <c r="G749" s="126">
        <f t="shared" si="222"/>
        <v>0</v>
      </c>
      <c r="H749" s="130">
        <f t="shared" si="223"/>
        <v>0</v>
      </c>
      <c r="I749" s="130">
        <v>0</v>
      </c>
      <c r="J749" s="6">
        <v>0</v>
      </c>
    </row>
    <row r="750" spans="1:107" s="2" customFormat="1" ht="12.75" customHeight="1" x14ac:dyDescent="0.2">
      <c r="A750" s="54"/>
      <c r="B750" s="65" t="s">
        <v>45</v>
      </c>
      <c r="C750" s="52">
        <v>3300000</v>
      </c>
      <c r="D750" s="52">
        <f>3300000-3300000</f>
        <v>0</v>
      </c>
      <c r="E750" s="719">
        <v>0</v>
      </c>
      <c r="F750" s="496"/>
      <c r="G750" s="126">
        <f t="shared" si="222"/>
        <v>0</v>
      </c>
      <c r="H750" s="130">
        <v>0</v>
      </c>
      <c r="I750" s="130">
        <v>0</v>
      </c>
      <c r="J750" s="14">
        <v>0</v>
      </c>
    </row>
    <row r="751" spans="1:107" s="2" customFormat="1" ht="12.75" customHeight="1" x14ac:dyDescent="0.2">
      <c r="A751" s="54"/>
      <c r="B751" s="65" t="s">
        <v>924</v>
      </c>
      <c r="C751" s="64">
        <v>3750000</v>
      </c>
      <c r="D751" s="64">
        <v>3750000</v>
      </c>
      <c r="E751" s="719">
        <v>8000</v>
      </c>
      <c r="F751" s="496"/>
      <c r="G751" s="126">
        <f t="shared" si="222"/>
        <v>0.21333333333333335</v>
      </c>
      <c r="H751" s="130">
        <f t="shared" si="223"/>
        <v>0.21333333333333335</v>
      </c>
      <c r="I751" s="130">
        <v>0</v>
      </c>
      <c r="J751" s="6">
        <v>0</v>
      </c>
    </row>
    <row r="752" spans="1:107" s="2" customFormat="1" ht="12.75" customHeight="1" x14ac:dyDescent="0.2">
      <c r="A752" s="54"/>
      <c r="B752" s="65" t="s">
        <v>44</v>
      </c>
      <c r="C752" s="64">
        <v>2050000</v>
      </c>
      <c r="D752" s="64">
        <v>2050000</v>
      </c>
      <c r="E752" s="719">
        <v>8000</v>
      </c>
      <c r="F752" s="496"/>
      <c r="G752" s="126">
        <f t="shared" si="222"/>
        <v>0.3902439024390244</v>
      </c>
      <c r="H752" s="130">
        <f t="shared" si="223"/>
        <v>0.3902439024390244</v>
      </c>
      <c r="I752" s="130">
        <v>0</v>
      </c>
      <c r="J752" s="14">
        <v>0</v>
      </c>
    </row>
    <row r="753" spans="1:246" s="2" customFormat="1" ht="12.75" customHeight="1" x14ac:dyDescent="0.2">
      <c r="A753" s="54"/>
      <c r="B753" s="65" t="s">
        <v>43</v>
      </c>
      <c r="C753" s="52">
        <v>2000000</v>
      </c>
      <c r="D753" s="52">
        <f>2000000-2000000</f>
        <v>0</v>
      </c>
      <c r="E753" s="719">
        <v>0</v>
      </c>
      <c r="F753" s="496"/>
      <c r="G753" s="126">
        <f t="shared" si="222"/>
        <v>0</v>
      </c>
      <c r="H753" s="130">
        <v>0</v>
      </c>
      <c r="I753" s="130">
        <v>0</v>
      </c>
      <c r="J753" s="6">
        <v>0</v>
      </c>
    </row>
    <row r="754" spans="1:246" s="2" customFormat="1" ht="12.75" customHeight="1" x14ac:dyDescent="0.2">
      <c r="A754" s="54"/>
      <c r="B754" s="65" t="s">
        <v>42</v>
      </c>
      <c r="C754" s="52">
        <v>6000000</v>
      </c>
      <c r="D754" s="52">
        <f>6000000-2000000</f>
        <v>4000000</v>
      </c>
      <c r="E754" s="719">
        <v>8000</v>
      </c>
      <c r="F754" s="496"/>
      <c r="G754" s="126">
        <f t="shared" si="222"/>
        <v>0.13333333333333333</v>
      </c>
      <c r="H754" s="130">
        <f t="shared" si="223"/>
        <v>0.2</v>
      </c>
      <c r="I754" s="130">
        <v>0</v>
      </c>
      <c r="J754" s="14">
        <v>0</v>
      </c>
    </row>
    <row r="755" spans="1:246" s="2" customFormat="1" ht="12.75" customHeight="1" x14ac:dyDescent="0.2">
      <c r="A755" s="54"/>
      <c r="B755" s="65" t="s">
        <v>793</v>
      </c>
      <c r="C755" s="52">
        <v>2000000</v>
      </c>
      <c r="D755" s="52">
        <f>2000000-1250000</f>
        <v>750000</v>
      </c>
      <c r="E755" s="719">
        <v>0</v>
      </c>
      <c r="F755" s="496"/>
      <c r="G755" s="126">
        <f t="shared" si="222"/>
        <v>0</v>
      </c>
      <c r="H755" s="130">
        <f t="shared" si="223"/>
        <v>0</v>
      </c>
      <c r="I755" s="130">
        <v>0</v>
      </c>
      <c r="J755" s="6">
        <v>0</v>
      </c>
    </row>
    <row r="756" spans="1:246" s="2" customFormat="1" ht="12.75" customHeight="1" x14ac:dyDescent="0.2">
      <c r="A756" s="54"/>
      <c r="B756" s="65" t="s">
        <v>41</v>
      </c>
      <c r="C756" s="64">
        <v>1300000</v>
      </c>
      <c r="D756" s="64">
        <f>1300000-600000</f>
        <v>700000</v>
      </c>
      <c r="E756" s="719">
        <v>0</v>
      </c>
      <c r="F756" s="496"/>
      <c r="G756" s="126">
        <f t="shared" si="222"/>
        <v>0</v>
      </c>
      <c r="H756" s="130">
        <f t="shared" si="223"/>
        <v>0</v>
      </c>
      <c r="I756" s="130">
        <v>0</v>
      </c>
      <c r="J756" s="14">
        <v>0</v>
      </c>
    </row>
    <row r="757" spans="1:246" s="2" customFormat="1" ht="12.75" customHeight="1" x14ac:dyDescent="0.2">
      <c r="A757" s="59">
        <v>4351</v>
      </c>
      <c r="B757" s="58" t="s">
        <v>40</v>
      </c>
      <c r="C757" s="24">
        <v>10000</v>
      </c>
      <c r="D757" s="24">
        <v>10000</v>
      </c>
      <c r="E757" s="715">
        <v>2807.08</v>
      </c>
      <c r="F757" s="496"/>
      <c r="G757" s="120">
        <f t="shared" si="222"/>
        <v>28.070800000000002</v>
      </c>
      <c r="H757" s="121">
        <f t="shared" si="223"/>
        <v>28.070800000000002</v>
      </c>
      <c r="I757" s="121">
        <f t="shared" si="221"/>
        <v>47.661074389566814</v>
      </c>
      <c r="J757" s="6">
        <v>5889.67</v>
      </c>
    </row>
    <row r="758" spans="1:246" s="2" customFormat="1" ht="12.75" customHeight="1" x14ac:dyDescent="0.2">
      <c r="A758" s="59">
        <v>4374</v>
      </c>
      <c r="B758" s="58" t="s">
        <v>39</v>
      </c>
      <c r="C758" s="63">
        <f>C759</f>
        <v>850000</v>
      </c>
      <c r="D758" s="63">
        <f>D759</f>
        <v>850000</v>
      </c>
      <c r="E758" s="715">
        <v>13663.15</v>
      </c>
      <c r="F758" s="206"/>
      <c r="G758" s="120">
        <f t="shared" si="222"/>
        <v>1.6074294117647059</v>
      </c>
      <c r="H758" s="121">
        <f t="shared" si="223"/>
        <v>1.6074294117647059</v>
      </c>
      <c r="I758" s="121">
        <f t="shared" si="221"/>
        <v>6.4394246630697456</v>
      </c>
      <c r="J758" s="14">
        <v>212179.67</v>
      </c>
    </row>
    <row r="759" spans="1:246" customFormat="1" ht="12.75" customHeight="1" x14ac:dyDescent="0.2">
      <c r="A759" s="54"/>
      <c r="B759" s="62" t="s">
        <v>38</v>
      </c>
      <c r="C759" s="52">
        <f>SUM(C760,C761)</f>
        <v>850000</v>
      </c>
      <c r="D759" s="52">
        <f>SUM(D760,D761)</f>
        <v>850000</v>
      </c>
      <c r="E759" s="719">
        <v>13663.15</v>
      </c>
      <c r="F759" s="206">
        <f>SUM(E760:E761)</f>
        <v>13663.15</v>
      </c>
      <c r="G759" s="126">
        <f t="shared" si="222"/>
        <v>1.6074294117647059</v>
      </c>
      <c r="H759" s="130">
        <f t="shared" si="223"/>
        <v>1.6074294117647059</v>
      </c>
      <c r="I759" s="130">
        <f t="shared" si="221"/>
        <v>6.4394246630697456</v>
      </c>
      <c r="J759" s="6">
        <v>212179.67</v>
      </c>
    </row>
    <row r="760" spans="1:246" customFormat="1" ht="12.75" customHeight="1" x14ac:dyDescent="0.2">
      <c r="A760" s="55"/>
      <c r="B760" s="61" t="s">
        <v>37</v>
      </c>
      <c r="C760" s="10">
        <v>600000</v>
      </c>
      <c r="D760" s="10">
        <v>600000</v>
      </c>
      <c r="E760" s="719">
        <v>0</v>
      </c>
      <c r="F760" s="496"/>
      <c r="G760" s="126">
        <f t="shared" si="222"/>
        <v>0</v>
      </c>
      <c r="H760" s="130">
        <f t="shared" si="223"/>
        <v>0</v>
      </c>
      <c r="I760" s="130">
        <f t="shared" si="221"/>
        <v>0</v>
      </c>
      <c r="J760" s="14">
        <v>212179.67</v>
      </c>
    </row>
    <row r="761" spans="1:246" customFormat="1" ht="12.75" customHeight="1" x14ac:dyDescent="0.2">
      <c r="A761" s="55"/>
      <c r="B761" s="60" t="s">
        <v>36</v>
      </c>
      <c r="C761" s="10">
        <v>250000</v>
      </c>
      <c r="D761" s="10">
        <v>250000</v>
      </c>
      <c r="E761" s="719">
        <v>13663.15</v>
      </c>
      <c r="F761" s="496"/>
      <c r="G761" s="126">
        <f t="shared" si="222"/>
        <v>5.4652599999999998</v>
      </c>
      <c r="H761" s="130">
        <f t="shared" si="223"/>
        <v>5.4652599999999998</v>
      </c>
      <c r="I761" s="130">
        <v>0</v>
      </c>
      <c r="J761" s="6">
        <v>0</v>
      </c>
    </row>
    <row r="762" spans="1:246" customFormat="1" ht="12.75" customHeight="1" x14ac:dyDescent="0.2">
      <c r="A762" s="59">
        <v>6171</v>
      </c>
      <c r="B762" s="58" t="s">
        <v>35</v>
      </c>
      <c r="C762" s="57">
        <f>SUM(C763:C766)</f>
        <v>2550000</v>
      </c>
      <c r="D762" s="57">
        <f>SUM(D763:D766)</f>
        <v>1100000</v>
      </c>
      <c r="E762" s="715">
        <v>27515</v>
      </c>
      <c r="F762" s="206">
        <f>SUM(E763:E766)</f>
        <v>27515</v>
      </c>
      <c r="G762" s="120">
        <f t="shared" si="222"/>
        <v>1.0790196078431373</v>
      </c>
      <c r="H762" s="121">
        <f t="shared" si="223"/>
        <v>2.5013636363636365</v>
      </c>
      <c r="I762" s="121">
        <f t="shared" si="221"/>
        <v>15.886398996480741</v>
      </c>
      <c r="J762" s="14">
        <v>173198.47</v>
      </c>
    </row>
    <row r="763" spans="1:246" customFormat="1" ht="12.75" customHeight="1" x14ac:dyDescent="0.2">
      <c r="A763" s="54"/>
      <c r="B763" s="56" t="s">
        <v>34</v>
      </c>
      <c r="C763" s="10">
        <v>50000</v>
      </c>
      <c r="D763" s="10">
        <v>50000</v>
      </c>
      <c r="E763" s="206">
        <v>0</v>
      </c>
      <c r="F763" s="496"/>
      <c r="G763" s="126">
        <f t="shared" si="222"/>
        <v>0</v>
      </c>
      <c r="H763" s="130">
        <f t="shared" si="223"/>
        <v>0</v>
      </c>
      <c r="I763" s="130">
        <f t="shared" si="221"/>
        <v>0</v>
      </c>
      <c r="J763" s="6">
        <v>2000</v>
      </c>
    </row>
    <row r="764" spans="1:246" customFormat="1" ht="12.75" customHeight="1" x14ac:dyDescent="0.2">
      <c r="A764" s="55"/>
      <c r="B764" s="53" t="s">
        <v>33</v>
      </c>
      <c r="C764" s="10">
        <v>2000000</v>
      </c>
      <c r="D764" s="10">
        <f>2000000-1450000</f>
        <v>550000</v>
      </c>
      <c r="E764" s="719">
        <v>0</v>
      </c>
      <c r="F764" s="496"/>
      <c r="G764" s="126">
        <f t="shared" si="222"/>
        <v>0</v>
      </c>
      <c r="H764" s="130">
        <f t="shared" si="223"/>
        <v>0</v>
      </c>
      <c r="I764" s="130">
        <v>0</v>
      </c>
      <c r="J764" s="6">
        <v>0</v>
      </c>
    </row>
    <row r="765" spans="1:246" customFormat="1" ht="12.75" customHeight="1" x14ac:dyDescent="0.2">
      <c r="A765" s="54"/>
      <c r="B765" s="53" t="s">
        <v>32</v>
      </c>
      <c r="C765" s="10">
        <v>300000</v>
      </c>
      <c r="D765" s="10">
        <v>300000</v>
      </c>
      <c r="E765" s="719">
        <v>0</v>
      </c>
      <c r="F765" s="496"/>
      <c r="G765" s="126">
        <f t="shared" si="222"/>
        <v>0</v>
      </c>
      <c r="H765" s="130">
        <f t="shared" si="223"/>
        <v>0</v>
      </c>
      <c r="I765" s="130">
        <v>0</v>
      </c>
      <c r="J765" s="14">
        <v>0</v>
      </c>
    </row>
    <row r="766" spans="1:246" customFormat="1" ht="12.75" customHeight="1" x14ac:dyDescent="0.2">
      <c r="A766" s="54"/>
      <c r="B766" s="69" t="s">
        <v>31</v>
      </c>
      <c r="C766" s="10">
        <v>200000</v>
      </c>
      <c r="D766" s="10">
        <v>200000</v>
      </c>
      <c r="E766" s="719">
        <v>27515</v>
      </c>
      <c r="F766" s="496"/>
      <c r="G766" s="126">
        <f t="shared" si="222"/>
        <v>13.7575</v>
      </c>
      <c r="H766" s="130">
        <f t="shared" si="223"/>
        <v>13.7575</v>
      </c>
      <c r="I766" s="130">
        <v>0</v>
      </c>
      <c r="J766" s="6">
        <v>0</v>
      </c>
    </row>
    <row r="767" spans="1:246" customFormat="1" ht="12.75" customHeight="1" thickBot="1" x14ac:dyDescent="0.25">
      <c r="A767" s="51"/>
      <c r="B767" s="666"/>
      <c r="C767" s="50"/>
      <c r="D767" s="50"/>
      <c r="E767" s="667"/>
      <c r="F767" s="668"/>
      <c r="G767" s="151"/>
      <c r="H767" s="151"/>
      <c r="I767" s="151"/>
      <c r="J767" s="6"/>
    </row>
    <row r="768" spans="1:246" s="3" customFormat="1" ht="21" thickBot="1" x14ac:dyDescent="0.35">
      <c r="A768" s="44"/>
      <c r="B768" s="49" t="s">
        <v>30</v>
      </c>
      <c r="C768" s="47">
        <f>SUM(C769+C773+C776)</f>
        <v>600000</v>
      </c>
      <c r="D768" s="47">
        <f>SUM(D769+D773+D776)</f>
        <v>600000</v>
      </c>
      <c r="E768" s="181">
        <v>0</v>
      </c>
      <c r="F768" s="317">
        <f>SUM(E769,E773)</f>
        <v>0</v>
      </c>
      <c r="G768" s="571">
        <f>E768/C768*100</f>
        <v>0</v>
      </c>
      <c r="H768" s="181">
        <f t="shared" ref="H768" si="224">E768/D768*100</f>
        <v>0</v>
      </c>
      <c r="I768" s="181">
        <f t="shared" si="221"/>
        <v>0</v>
      </c>
      <c r="J768" s="14">
        <v>118750</v>
      </c>
      <c r="K768" s="41"/>
      <c r="L768" s="41"/>
      <c r="M768" s="41"/>
      <c r="N768" s="41"/>
      <c r="O768" s="41"/>
      <c r="P768" s="41"/>
      <c r="Q768" s="41"/>
      <c r="R768" s="41"/>
      <c r="S768" s="41"/>
      <c r="T768" s="41"/>
      <c r="U768" s="41"/>
      <c r="V768" s="41"/>
      <c r="W768" s="41"/>
      <c r="X768" s="41"/>
      <c r="Y768" s="41"/>
      <c r="Z768" s="41"/>
      <c r="AA768" s="41"/>
      <c r="AB768" s="41"/>
      <c r="AC768" s="41"/>
      <c r="AD768" s="41"/>
      <c r="AE768" s="41"/>
      <c r="AF768" s="41"/>
      <c r="AG768" s="41"/>
      <c r="AH768" s="41"/>
      <c r="AI768" s="41"/>
      <c r="AJ768" s="41"/>
      <c r="AK768" s="41"/>
      <c r="AL768" s="41"/>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c r="CT768" s="41"/>
      <c r="CU768" s="41"/>
      <c r="CV768" s="41"/>
      <c r="CW768" s="41"/>
      <c r="CX768" s="41"/>
      <c r="CY768" s="41"/>
      <c r="CZ768" s="41"/>
      <c r="DA768" s="41"/>
      <c r="DB768" s="41"/>
      <c r="DC768" s="41"/>
      <c r="DD768" s="41"/>
      <c r="DE768" s="41"/>
      <c r="DF768" s="41"/>
      <c r="DG768" s="41"/>
      <c r="DH768" s="41"/>
      <c r="DI768" s="41"/>
      <c r="DJ768" s="41"/>
      <c r="DK768" s="41"/>
      <c r="DL768" s="41"/>
      <c r="DM768" s="41"/>
      <c r="DN768" s="41"/>
      <c r="DO768" s="41"/>
      <c r="DP768" s="41"/>
      <c r="DQ768" s="41"/>
      <c r="DR768" s="41"/>
      <c r="DS768" s="41"/>
      <c r="DT768" s="41"/>
      <c r="DU768" s="41"/>
      <c r="DV768" s="41"/>
      <c r="DW768" s="41"/>
      <c r="DX768" s="41"/>
      <c r="DY768" s="41"/>
      <c r="DZ768" s="41"/>
      <c r="EA768" s="41"/>
      <c r="EB768" s="41"/>
      <c r="EC768" s="41"/>
      <c r="ED768" s="41"/>
      <c r="EE768" s="41"/>
      <c r="EF768" s="41"/>
      <c r="EG768" s="41"/>
      <c r="EH768" s="41"/>
      <c r="EI768" s="41"/>
      <c r="EJ768" s="41"/>
      <c r="EK768" s="41"/>
      <c r="EL768" s="41"/>
      <c r="EM768" s="41"/>
      <c r="EN768" s="41"/>
      <c r="EO768" s="41"/>
      <c r="EP768" s="41"/>
      <c r="EQ768" s="41"/>
      <c r="ER768" s="41"/>
      <c r="ES768" s="41"/>
      <c r="ET768" s="41"/>
      <c r="EU768" s="41"/>
      <c r="EV768" s="41"/>
      <c r="EW768" s="41"/>
      <c r="EX768" s="41"/>
      <c r="EY768" s="41"/>
      <c r="EZ768" s="41"/>
      <c r="FA768" s="41"/>
      <c r="FB768" s="41"/>
      <c r="FC768" s="41"/>
      <c r="FD768" s="41"/>
      <c r="FE768" s="41"/>
      <c r="FF768" s="41"/>
      <c r="FG768" s="41"/>
      <c r="FH768" s="41"/>
      <c r="FI768" s="41"/>
      <c r="FJ768" s="41"/>
      <c r="FK768" s="41"/>
      <c r="FL768" s="41"/>
      <c r="FM768" s="41"/>
      <c r="FN768" s="41"/>
      <c r="FO768" s="41"/>
      <c r="FP768" s="41"/>
      <c r="FQ768" s="41"/>
      <c r="FR768" s="41"/>
      <c r="FS768" s="41"/>
      <c r="FT768" s="41"/>
      <c r="FU768" s="41"/>
      <c r="FV768" s="41"/>
      <c r="FW768" s="41"/>
      <c r="FX768" s="41"/>
      <c r="FY768" s="41"/>
      <c r="FZ768" s="41"/>
      <c r="GA768" s="41"/>
      <c r="GB768" s="41"/>
      <c r="GC768" s="41"/>
      <c r="GD768" s="41"/>
      <c r="GE768" s="41"/>
      <c r="GF768" s="41"/>
      <c r="GG768" s="41"/>
      <c r="GH768" s="41"/>
      <c r="GI768" s="41"/>
      <c r="GJ768" s="41"/>
      <c r="GK768" s="41"/>
      <c r="GL768" s="41"/>
      <c r="GM768" s="41"/>
      <c r="GN768" s="41"/>
      <c r="GO768" s="41"/>
      <c r="GP768" s="41"/>
      <c r="GQ768" s="41"/>
      <c r="GR768" s="41"/>
      <c r="GS768" s="41"/>
      <c r="GT768" s="41"/>
      <c r="GU768" s="41"/>
      <c r="GV768" s="41"/>
      <c r="GW768" s="41"/>
      <c r="GX768" s="41"/>
      <c r="GY768" s="41"/>
      <c r="GZ768" s="41"/>
      <c r="HA768" s="41"/>
      <c r="HB768" s="41"/>
      <c r="HC768" s="41"/>
      <c r="HD768" s="41"/>
      <c r="HE768" s="41"/>
      <c r="HF768" s="41"/>
      <c r="HG768" s="41"/>
      <c r="HH768" s="41"/>
      <c r="HI768" s="41"/>
      <c r="HJ768" s="41"/>
      <c r="HK768" s="41"/>
      <c r="HL768" s="41"/>
      <c r="HM768" s="41"/>
      <c r="HN768" s="41"/>
      <c r="HO768" s="41"/>
      <c r="HP768" s="41"/>
      <c r="HQ768" s="41"/>
      <c r="HR768" s="41"/>
      <c r="HS768" s="41"/>
      <c r="HT768" s="41"/>
      <c r="HU768" s="41"/>
      <c r="HV768" s="41"/>
      <c r="HW768" s="41"/>
      <c r="HX768" s="41"/>
      <c r="HY768" s="41"/>
      <c r="HZ768" s="41"/>
      <c r="IA768" s="41"/>
      <c r="IB768" s="41"/>
      <c r="IC768" s="41"/>
      <c r="ID768" s="41"/>
      <c r="IE768" s="41"/>
      <c r="IF768" s="41"/>
      <c r="IG768" s="41"/>
      <c r="IH768" s="41"/>
      <c r="II768" s="41"/>
      <c r="IJ768" s="41"/>
      <c r="IK768" s="41"/>
      <c r="IL768" s="41"/>
    </row>
    <row r="769" spans="1:246" s="3" customFormat="1" x14ac:dyDescent="0.2">
      <c r="A769" s="30">
        <v>2169</v>
      </c>
      <c r="B769" s="29" t="s">
        <v>29</v>
      </c>
      <c r="C769" s="24">
        <v>250000</v>
      </c>
      <c r="D769" s="24">
        <v>250000</v>
      </c>
      <c r="E769" s="527">
        <v>0</v>
      </c>
      <c r="F769" s="528">
        <f>SUM(E770:E772)</f>
        <v>0</v>
      </c>
      <c r="G769" s="120">
        <f t="shared" si="222"/>
        <v>0</v>
      </c>
      <c r="H769" s="121">
        <f t="shared" si="223"/>
        <v>0</v>
      </c>
      <c r="I769" s="121">
        <f t="shared" ref="I769:I773" si="225">E769/J769*100</f>
        <v>0</v>
      </c>
      <c r="J769" s="6">
        <v>1000</v>
      </c>
      <c r="K769" s="41"/>
      <c r="L769" s="41"/>
      <c r="M769" s="41"/>
      <c r="N769" s="41"/>
      <c r="O769" s="41"/>
      <c r="P769" s="41"/>
      <c r="Q769" s="41"/>
      <c r="R769" s="41"/>
      <c r="S769" s="41"/>
      <c r="T769" s="41"/>
      <c r="U769" s="41"/>
      <c r="V769" s="41"/>
      <c r="W769" s="41"/>
      <c r="X769" s="41"/>
      <c r="Y769" s="41"/>
      <c r="Z769" s="41"/>
      <c r="AA769" s="41"/>
      <c r="AB769" s="41"/>
      <c r="AC769" s="41"/>
      <c r="AD769" s="41"/>
      <c r="AE769" s="41"/>
      <c r="AF769" s="41"/>
      <c r="AG769" s="41"/>
      <c r="AH769" s="41"/>
      <c r="AI769" s="41"/>
      <c r="AJ769" s="41"/>
      <c r="AK769" s="41"/>
      <c r="AL769" s="41"/>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c r="CT769" s="41"/>
      <c r="CU769" s="41"/>
      <c r="CV769" s="41"/>
      <c r="CW769" s="41"/>
      <c r="CX769" s="41"/>
      <c r="CY769" s="41"/>
      <c r="CZ769" s="41"/>
      <c r="DA769" s="41"/>
      <c r="DB769" s="41"/>
      <c r="DC769" s="41"/>
      <c r="DD769" s="41"/>
      <c r="DE769" s="41"/>
      <c r="DF769" s="41"/>
      <c r="DG769" s="41"/>
      <c r="DH769" s="41"/>
      <c r="DI769" s="41"/>
      <c r="DJ769" s="41"/>
      <c r="DK769" s="41"/>
      <c r="DL769" s="41"/>
      <c r="DM769" s="41"/>
      <c r="DN769" s="41"/>
      <c r="DO769" s="41"/>
      <c r="DP769" s="41"/>
      <c r="DQ769" s="41"/>
      <c r="DR769" s="41"/>
      <c r="DS769" s="41"/>
      <c r="DT769" s="41"/>
      <c r="DU769" s="41"/>
      <c r="DV769" s="41"/>
      <c r="DW769" s="41"/>
      <c r="DX769" s="41"/>
      <c r="DY769" s="41"/>
      <c r="DZ769" s="41"/>
      <c r="EA769" s="41"/>
      <c r="EB769" s="41"/>
      <c r="EC769" s="41"/>
      <c r="ED769" s="41"/>
      <c r="EE769" s="41"/>
      <c r="EF769" s="41"/>
      <c r="EG769" s="41"/>
      <c r="EH769" s="41"/>
      <c r="EI769" s="41"/>
      <c r="EJ769" s="41"/>
      <c r="EK769" s="41"/>
      <c r="EL769" s="41"/>
      <c r="EM769" s="41"/>
      <c r="EN769" s="41"/>
      <c r="EO769" s="41"/>
      <c r="EP769" s="41"/>
      <c r="EQ769" s="41"/>
      <c r="ER769" s="41"/>
      <c r="ES769" s="41"/>
      <c r="ET769" s="41"/>
      <c r="EU769" s="41"/>
      <c r="EV769" s="41"/>
      <c r="EW769" s="41"/>
      <c r="EX769" s="41"/>
      <c r="EY769" s="41"/>
      <c r="EZ769" s="41"/>
      <c r="FA769" s="41"/>
      <c r="FB769" s="41"/>
      <c r="FC769" s="41"/>
      <c r="FD769" s="41"/>
      <c r="FE769" s="41"/>
      <c r="FF769" s="41"/>
      <c r="FG769" s="41"/>
      <c r="FH769" s="41"/>
      <c r="FI769" s="41"/>
      <c r="FJ769" s="41"/>
      <c r="FK769" s="41"/>
      <c r="FL769" s="41"/>
      <c r="FM769" s="41"/>
      <c r="FN769" s="41"/>
      <c r="FO769" s="41"/>
      <c r="FP769" s="41"/>
      <c r="FQ769" s="41"/>
      <c r="FR769" s="41"/>
      <c r="FS769" s="41"/>
      <c r="FT769" s="41"/>
      <c r="FU769" s="41"/>
      <c r="FV769" s="41"/>
      <c r="FW769" s="41"/>
      <c r="FX769" s="41"/>
      <c r="FY769" s="41"/>
      <c r="FZ769" s="41"/>
      <c r="GA769" s="41"/>
      <c r="GB769" s="41"/>
      <c r="GC769" s="41"/>
      <c r="GD769" s="41"/>
      <c r="GE769" s="41"/>
      <c r="GF769" s="41"/>
      <c r="GG769" s="41"/>
      <c r="GH769" s="41"/>
      <c r="GI769" s="41"/>
      <c r="GJ769" s="41"/>
      <c r="GK769" s="41"/>
      <c r="GL769" s="41"/>
      <c r="GM769" s="41"/>
      <c r="GN769" s="41"/>
      <c r="GO769" s="41"/>
      <c r="GP769" s="41"/>
      <c r="GQ769" s="41"/>
      <c r="GR769" s="41"/>
      <c r="GS769" s="41"/>
      <c r="GT769" s="41"/>
      <c r="GU769" s="41"/>
      <c r="GV769" s="41"/>
      <c r="GW769" s="41"/>
      <c r="GX769" s="41"/>
      <c r="GY769" s="41"/>
      <c r="GZ769" s="41"/>
      <c r="HA769" s="41"/>
      <c r="HB769" s="41"/>
      <c r="HC769" s="41"/>
      <c r="HD769" s="41"/>
      <c r="HE769" s="41"/>
      <c r="HF769" s="41"/>
      <c r="HG769" s="41"/>
      <c r="HH769" s="41"/>
      <c r="HI769" s="41"/>
      <c r="HJ769" s="41"/>
      <c r="HK769" s="41"/>
      <c r="HL769" s="41"/>
      <c r="HM769" s="41"/>
      <c r="HN769" s="41"/>
      <c r="HO769" s="41"/>
      <c r="HP769" s="41"/>
      <c r="HQ769" s="41"/>
      <c r="HR769" s="41"/>
      <c r="HS769" s="41"/>
      <c r="HT769" s="41"/>
      <c r="HU769" s="41"/>
      <c r="HV769" s="41"/>
      <c r="HW769" s="41"/>
      <c r="HX769" s="41"/>
      <c r="HY769" s="41"/>
      <c r="HZ769" s="41"/>
      <c r="IA769" s="41"/>
      <c r="IB769" s="41"/>
      <c r="IC769" s="41"/>
      <c r="ID769" s="41"/>
      <c r="IE769" s="41"/>
      <c r="IF769" s="41"/>
      <c r="IG769" s="41"/>
      <c r="IH769" s="41"/>
      <c r="II769" s="41"/>
      <c r="IJ769" s="41"/>
      <c r="IK769" s="41"/>
      <c r="IL769" s="41"/>
    </row>
    <row r="770" spans="1:246" s="3" customFormat="1" x14ac:dyDescent="0.2">
      <c r="A770" s="30"/>
      <c r="B770" s="28" t="s">
        <v>28</v>
      </c>
      <c r="C770" s="9">
        <v>47000</v>
      </c>
      <c r="D770" s="9">
        <v>47000</v>
      </c>
      <c r="E770" s="719">
        <v>0</v>
      </c>
      <c r="F770" s="496"/>
      <c r="G770" s="126">
        <f t="shared" si="222"/>
        <v>0</v>
      </c>
      <c r="H770" s="130">
        <f t="shared" si="223"/>
        <v>0</v>
      </c>
      <c r="I770" s="130">
        <v>0</v>
      </c>
      <c r="J770" s="14">
        <v>0</v>
      </c>
      <c r="K770" s="41"/>
      <c r="L770" s="41"/>
      <c r="M770" s="41"/>
      <c r="N770" s="41"/>
      <c r="O770" s="41"/>
      <c r="P770" s="41"/>
      <c r="Q770" s="41"/>
      <c r="R770" s="41"/>
      <c r="S770" s="41"/>
      <c r="T770" s="41"/>
      <c r="U770" s="41"/>
      <c r="V770" s="41"/>
      <c r="W770" s="41"/>
      <c r="X770" s="41"/>
      <c r="Y770" s="41"/>
      <c r="Z770" s="41"/>
      <c r="AA770" s="41"/>
      <c r="AB770" s="41"/>
      <c r="AC770" s="41"/>
      <c r="AD770" s="41"/>
      <c r="AE770" s="41"/>
      <c r="AF770" s="41"/>
      <c r="AG770" s="41"/>
      <c r="AH770" s="41"/>
      <c r="AI770" s="41"/>
      <c r="AJ770" s="41"/>
      <c r="AK770" s="41"/>
      <c r="AL770" s="41"/>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c r="CT770" s="41"/>
      <c r="CU770" s="41"/>
      <c r="CV770" s="41"/>
      <c r="CW770" s="41"/>
      <c r="CX770" s="41"/>
      <c r="CY770" s="41"/>
      <c r="CZ770" s="41"/>
      <c r="DA770" s="41"/>
      <c r="DB770" s="41"/>
      <c r="DC770" s="41"/>
      <c r="DD770" s="41"/>
      <c r="DE770" s="41"/>
      <c r="DF770" s="41"/>
      <c r="DG770" s="41"/>
      <c r="DH770" s="41"/>
      <c r="DI770" s="41"/>
      <c r="DJ770" s="41"/>
      <c r="DK770" s="41"/>
      <c r="DL770" s="41"/>
      <c r="DM770" s="41"/>
      <c r="DN770" s="41"/>
      <c r="DO770" s="41"/>
      <c r="DP770" s="41"/>
      <c r="DQ770" s="41"/>
      <c r="DR770" s="41"/>
      <c r="DS770" s="41"/>
      <c r="DT770" s="41"/>
      <c r="DU770" s="41"/>
      <c r="DV770" s="41"/>
      <c r="DW770" s="41"/>
      <c r="DX770" s="41"/>
      <c r="DY770" s="41"/>
      <c r="DZ770" s="41"/>
      <c r="EA770" s="41"/>
      <c r="EB770" s="41"/>
      <c r="EC770" s="41"/>
      <c r="ED770" s="41"/>
      <c r="EE770" s="41"/>
      <c r="EF770" s="41"/>
      <c r="EG770" s="41"/>
      <c r="EH770" s="41"/>
      <c r="EI770" s="41"/>
      <c r="EJ770" s="41"/>
      <c r="EK770" s="41"/>
      <c r="EL770" s="41"/>
      <c r="EM770" s="41"/>
      <c r="EN770" s="41"/>
      <c r="EO770" s="41"/>
      <c r="EP770" s="41"/>
      <c r="EQ770" s="41"/>
      <c r="ER770" s="41"/>
      <c r="ES770" s="41"/>
      <c r="ET770" s="41"/>
      <c r="EU770" s="41"/>
      <c r="EV770" s="41"/>
      <c r="EW770" s="41"/>
      <c r="EX770" s="41"/>
      <c r="EY770" s="41"/>
      <c r="EZ770" s="41"/>
      <c r="FA770" s="41"/>
      <c r="FB770" s="41"/>
      <c r="FC770" s="41"/>
      <c r="FD770" s="41"/>
      <c r="FE770" s="41"/>
      <c r="FF770" s="41"/>
      <c r="FG770" s="41"/>
      <c r="FH770" s="41"/>
      <c r="FI770" s="41"/>
      <c r="FJ770" s="41"/>
      <c r="FK770" s="41"/>
      <c r="FL770" s="41"/>
      <c r="FM770" s="41"/>
      <c r="FN770" s="41"/>
      <c r="FO770" s="41"/>
      <c r="FP770" s="41"/>
      <c r="FQ770" s="41"/>
      <c r="FR770" s="41"/>
      <c r="FS770" s="41"/>
      <c r="FT770" s="41"/>
      <c r="FU770" s="41"/>
      <c r="FV770" s="41"/>
      <c r="FW770" s="41"/>
      <c r="FX770" s="41"/>
      <c r="FY770" s="41"/>
      <c r="FZ770" s="41"/>
      <c r="GA770" s="41"/>
      <c r="GB770" s="41"/>
      <c r="GC770" s="41"/>
      <c r="GD770" s="41"/>
      <c r="GE770" s="41"/>
      <c r="GF770" s="41"/>
      <c r="GG770" s="41"/>
      <c r="GH770" s="41"/>
      <c r="GI770" s="41"/>
      <c r="GJ770" s="41"/>
      <c r="GK770" s="41"/>
      <c r="GL770" s="41"/>
      <c r="GM770" s="41"/>
      <c r="GN770" s="41"/>
      <c r="GO770" s="41"/>
      <c r="GP770" s="41"/>
      <c r="GQ770" s="41"/>
      <c r="GR770" s="41"/>
      <c r="GS770" s="41"/>
      <c r="GT770" s="41"/>
      <c r="GU770" s="41"/>
      <c r="GV770" s="41"/>
      <c r="GW770" s="41"/>
      <c r="GX770" s="41"/>
      <c r="GY770" s="41"/>
      <c r="GZ770" s="41"/>
      <c r="HA770" s="41"/>
      <c r="HB770" s="41"/>
      <c r="HC770" s="41"/>
      <c r="HD770" s="41"/>
      <c r="HE770" s="41"/>
      <c r="HF770" s="41"/>
      <c r="HG770" s="41"/>
      <c r="HH770" s="41"/>
      <c r="HI770" s="41"/>
      <c r="HJ770" s="41"/>
      <c r="HK770" s="41"/>
      <c r="HL770" s="41"/>
      <c r="HM770" s="41"/>
      <c r="HN770" s="41"/>
      <c r="HO770" s="41"/>
      <c r="HP770" s="41"/>
      <c r="HQ770" s="41"/>
      <c r="HR770" s="41"/>
      <c r="HS770" s="41"/>
      <c r="HT770" s="41"/>
      <c r="HU770" s="41"/>
      <c r="HV770" s="41"/>
      <c r="HW770" s="41"/>
      <c r="HX770" s="41"/>
      <c r="HY770" s="41"/>
      <c r="HZ770" s="41"/>
      <c r="IA770" s="41"/>
      <c r="IB770" s="41"/>
      <c r="IC770" s="41"/>
      <c r="ID770" s="41"/>
      <c r="IE770" s="41"/>
      <c r="IF770" s="41"/>
      <c r="IG770" s="41"/>
      <c r="IH770" s="41"/>
      <c r="II770" s="41"/>
      <c r="IJ770" s="41"/>
      <c r="IK770" s="41"/>
      <c r="IL770" s="41"/>
    </row>
    <row r="771" spans="1:246" s="3" customFormat="1" x14ac:dyDescent="0.2">
      <c r="A771" s="30"/>
      <c r="B771" s="28" t="s">
        <v>27</v>
      </c>
      <c r="C771" s="9">
        <v>200000</v>
      </c>
      <c r="D771" s="9">
        <v>200000</v>
      </c>
      <c r="E771" s="719">
        <v>0</v>
      </c>
      <c r="F771" s="496"/>
      <c r="G771" s="126">
        <f t="shared" si="222"/>
        <v>0</v>
      </c>
      <c r="H771" s="130">
        <f t="shared" si="223"/>
        <v>0</v>
      </c>
      <c r="I771" s="130">
        <f t="shared" si="225"/>
        <v>0</v>
      </c>
      <c r="J771" s="6">
        <v>1000</v>
      </c>
      <c r="K771" s="41"/>
      <c r="L771" s="41"/>
      <c r="M771" s="41"/>
      <c r="N771" s="41"/>
      <c r="O771" s="41"/>
      <c r="P771" s="41"/>
      <c r="Q771" s="41"/>
      <c r="R771" s="41"/>
      <c r="S771" s="41"/>
      <c r="T771" s="41"/>
      <c r="U771" s="41"/>
      <c r="V771" s="41"/>
      <c r="W771" s="41"/>
      <c r="X771" s="41"/>
      <c r="Y771" s="41"/>
      <c r="Z771" s="41"/>
      <c r="AA771" s="41"/>
      <c r="AB771" s="41"/>
      <c r="AC771" s="41"/>
      <c r="AD771" s="41"/>
      <c r="AE771" s="41"/>
      <c r="AF771" s="41"/>
      <c r="AG771" s="41"/>
      <c r="AH771" s="41"/>
      <c r="AI771" s="41"/>
      <c r="AJ771" s="41"/>
      <c r="AK771" s="41"/>
      <c r="AL771" s="41"/>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c r="CT771" s="41"/>
      <c r="CU771" s="41"/>
      <c r="CV771" s="41"/>
      <c r="CW771" s="41"/>
      <c r="CX771" s="41"/>
      <c r="CY771" s="41"/>
      <c r="CZ771" s="41"/>
      <c r="DA771" s="41"/>
      <c r="DB771" s="41"/>
      <c r="DC771" s="41"/>
      <c r="DD771" s="41"/>
      <c r="DE771" s="41"/>
      <c r="DF771" s="41"/>
      <c r="DG771" s="41"/>
      <c r="DH771" s="41"/>
      <c r="DI771" s="41"/>
      <c r="DJ771" s="41"/>
      <c r="DK771" s="41"/>
      <c r="DL771" s="41"/>
      <c r="DM771" s="41"/>
      <c r="DN771" s="41"/>
      <c r="DO771" s="41"/>
      <c r="DP771" s="41"/>
      <c r="DQ771" s="41"/>
      <c r="DR771" s="41"/>
      <c r="DS771" s="41"/>
      <c r="DT771" s="41"/>
      <c r="DU771" s="41"/>
      <c r="DV771" s="41"/>
      <c r="DW771" s="41"/>
      <c r="DX771" s="41"/>
      <c r="DY771" s="41"/>
      <c r="DZ771" s="41"/>
      <c r="EA771" s="41"/>
      <c r="EB771" s="41"/>
      <c r="EC771" s="41"/>
      <c r="ED771" s="41"/>
      <c r="EE771" s="41"/>
      <c r="EF771" s="41"/>
      <c r="EG771" s="41"/>
      <c r="EH771" s="41"/>
      <c r="EI771" s="41"/>
      <c r="EJ771" s="41"/>
      <c r="EK771" s="41"/>
      <c r="EL771" s="41"/>
      <c r="EM771" s="41"/>
      <c r="EN771" s="41"/>
      <c r="EO771" s="41"/>
      <c r="EP771" s="41"/>
      <c r="EQ771" s="41"/>
      <c r="ER771" s="41"/>
      <c r="ES771" s="41"/>
      <c r="ET771" s="41"/>
      <c r="EU771" s="41"/>
      <c r="EV771" s="41"/>
      <c r="EW771" s="41"/>
      <c r="EX771" s="41"/>
      <c r="EY771" s="41"/>
      <c r="EZ771" s="41"/>
      <c r="FA771" s="41"/>
      <c r="FB771" s="41"/>
      <c r="FC771" s="41"/>
      <c r="FD771" s="41"/>
      <c r="FE771" s="41"/>
      <c r="FF771" s="41"/>
      <c r="FG771" s="41"/>
      <c r="FH771" s="41"/>
      <c r="FI771" s="41"/>
      <c r="FJ771" s="41"/>
      <c r="FK771" s="41"/>
      <c r="FL771" s="41"/>
      <c r="FM771" s="41"/>
      <c r="FN771" s="41"/>
      <c r="FO771" s="41"/>
      <c r="FP771" s="41"/>
      <c r="FQ771" s="41"/>
      <c r="FR771" s="41"/>
      <c r="FS771" s="41"/>
      <c r="FT771" s="41"/>
      <c r="FU771" s="41"/>
      <c r="FV771" s="41"/>
      <c r="FW771" s="41"/>
      <c r="FX771" s="41"/>
      <c r="FY771" s="41"/>
      <c r="FZ771" s="41"/>
      <c r="GA771" s="41"/>
      <c r="GB771" s="41"/>
      <c r="GC771" s="41"/>
      <c r="GD771" s="41"/>
      <c r="GE771" s="41"/>
      <c r="GF771" s="41"/>
      <c r="GG771" s="41"/>
      <c r="GH771" s="41"/>
      <c r="GI771" s="41"/>
      <c r="GJ771" s="41"/>
      <c r="GK771" s="41"/>
      <c r="GL771" s="41"/>
      <c r="GM771" s="41"/>
      <c r="GN771" s="41"/>
      <c r="GO771" s="41"/>
      <c r="GP771" s="41"/>
      <c r="GQ771" s="41"/>
      <c r="GR771" s="41"/>
      <c r="GS771" s="41"/>
      <c r="GT771" s="41"/>
      <c r="GU771" s="41"/>
      <c r="GV771" s="41"/>
      <c r="GW771" s="41"/>
      <c r="GX771" s="41"/>
      <c r="GY771" s="41"/>
      <c r="GZ771" s="41"/>
      <c r="HA771" s="41"/>
      <c r="HB771" s="41"/>
      <c r="HC771" s="41"/>
      <c r="HD771" s="41"/>
      <c r="HE771" s="41"/>
      <c r="HF771" s="41"/>
      <c r="HG771" s="41"/>
      <c r="HH771" s="41"/>
      <c r="HI771" s="41"/>
      <c r="HJ771" s="41"/>
      <c r="HK771" s="41"/>
      <c r="HL771" s="41"/>
      <c r="HM771" s="41"/>
      <c r="HN771" s="41"/>
      <c r="HO771" s="41"/>
      <c r="HP771" s="41"/>
      <c r="HQ771" s="41"/>
      <c r="HR771" s="41"/>
      <c r="HS771" s="41"/>
      <c r="HT771" s="41"/>
      <c r="HU771" s="41"/>
      <c r="HV771" s="41"/>
      <c r="HW771" s="41"/>
      <c r="HX771" s="41"/>
      <c r="HY771" s="41"/>
      <c r="HZ771" s="41"/>
      <c r="IA771" s="41"/>
      <c r="IB771" s="41"/>
      <c r="IC771" s="41"/>
      <c r="ID771" s="41"/>
      <c r="IE771" s="41"/>
      <c r="IF771" s="41"/>
      <c r="IG771" s="41"/>
      <c r="IH771" s="41"/>
      <c r="II771" s="41"/>
      <c r="IJ771" s="41"/>
      <c r="IK771" s="41"/>
      <c r="IL771" s="41"/>
    </row>
    <row r="772" spans="1:246" s="3" customFormat="1" x14ac:dyDescent="0.2">
      <c r="A772" s="30"/>
      <c r="B772" s="28" t="s">
        <v>26</v>
      </c>
      <c r="C772" s="9">
        <v>3000</v>
      </c>
      <c r="D772" s="9">
        <v>3000</v>
      </c>
      <c r="E772" s="719">
        <v>0</v>
      </c>
      <c r="F772" s="496"/>
      <c r="G772" s="126">
        <f t="shared" si="222"/>
        <v>0</v>
      </c>
      <c r="H772" s="130">
        <f t="shared" si="223"/>
        <v>0</v>
      </c>
      <c r="I772" s="130">
        <v>0</v>
      </c>
      <c r="J772" s="14">
        <v>0</v>
      </c>
      <c r="K772" s="41"/>
      <c r="L772" s="41"/>
      <c r="M772" s="41"/>
      <c r="N772" s="41"/>
      <c r="O772" s="41"/>
      <c r="P772" s="41"/>
      <c r="Q772" s="41"/>
      <c r="R772" s="41"/>
      <c r="S772" s="41"/>
      <c r="T772" s="41"/>
      <c r="U772" s="41"/>
      <c r="V772" s="41"/>
      <c r="W772" s="41"/>
      <c r="X772" s="41"/>
      <c r="Y772" s="41"/>
      <c r="Z772" s="41"/>
      <c r="AA772" s="41"/>
      <c r="AB772" s="41"/>
      <c r="AC772" s="41"/>
      <c r="AD772" s="41"/>
      <c r="AE772" s="41"/>
      <c r="AF772" s="41"/>
      <c r="AG772" s="41"/>
      <c r="AH772" s="41"/>
      <c r="AI772" s="41"/>
      <c r="AJ772" s="41"/>
      <c r="AK772" s="41"/>
      <c r="AL772" s="41"/>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c r="CT772" s="41"/>
      <c r="CU772" s="41"/>
      <c r="CV772" s="41"/>
      <c r="CW772" s="41"/>
      <c r="CX772" s="41"/>
      <c r="CY772" s="41"/>
      <c r="CZ772" s="41"/>
      <c r="DA772" s="41"/>
      <c r="DB772" s="41"/>
      <c r="DC772" s="41"/>
      <c r="DD772" s="41"/>
      <c r="DE772" s="41"/>
      <c r="DF772" s="41"/>
      <c r="DG772" s="41"/>
      <c r="DH772" s="41"/>
      <c r="DI772" s="41"/>
      <c r="DJ772" s="41"/>
      <c r="DK772" s="41"/>
      <c r="DL772" s="41"/>
      <c r="DM772" s="41"/>
      <c r="DN772" s="41"/>
      <c r="DO772" s="41"/>
      <c r="DP772" s="41"/>
      <c r="DQ772" s="41"/>
      <c r="DR772" s="41"/>
      <c r="DS772" s="41"/>
      <c r="DT772" s="41"/>
      <c r="DU772" s="41"/>
      <c r="DV772" s="41"/>
      <c r="DW772" s="41"/>
      <c r="DX772" s="41"/>
      <c r="DY772" s="41"/>
      <c r="DZ772" s="41"/>
      <c r="EA772" s="41"/>
      <c r="EB772" s="41"/>
      <c r="EC772" s="41"/>
      <c r="ED772" s="41"/>
      <c r="EE772" s="41"/>
      <c r="EF772" s="41"/>
      <c r="EG772" s="41"/>
      <c r="EH772" s="41"/>
      <c r="EI772" s="41"/>
      <c r="EJ772" s="41"/>
      <c r="EK772" s="41"/>
      <c r="EL772" s="41"/>
      <c r="EM772" s="41"/>
      <c r="EN772" s="41"/>
      <c r="EO772" s="41"/>
      <c r="EP772" s="41"/>
      <c r="EQ772" s="41"/>
      <c r="ER772" s="41"/>
      <c r="ES772" s="41"/>
      <c r="ET772" s="41"/>
      <c r="EU772" s="41"/>
      <c r="EV772" s="41"/>
      <c r="EW772" s="41"/>
      <c r="EX772" s="41"/>
      <c r="EY772" s="41"/>
      <c r="EZ772" s="41"/>
      <c r="FA772" s="41"/>
      <c r="FB772" s="41"/>
      <c r="FC772" s="41"/>
      <c r="FD772" s="41"/>
      <c r="FE772" s="41"/>
      <c r="FF772" s="41"/>
      <c r="FG772" s="41"/>
      <c r="FH772" s="41"/>
      <c r="FI772" s="41"/>
      <c r="FJ772" s="41"/>
      <c r="FK772" s="41"/>
      <c r="FL772" s="41"/>
      <c r="FM772" s="41"/>
      <c r="FN772" s="41"/>
      <c r="FO772" s="41"/>
      <c r="FP772" s="41"/>
      <c r="FQ772" s="41"/>
      <c r="FR772" s="41"/>
      <c r="FS772" s="41"/>
      <c r="FT772" s="41"/>
      <c r="FU772" s="41"/>
      <c r="FV772" s="41"/>
      <c r="FW772" s="41"/>
      <c r="FX772" s="41"/>
      <c r="FY772" s="41"/>
      <c r="FZ772" s="41"/>
      <c r="GA772" s="41"/>
      <c r="GB772" s="41"/>
      <c r="GC772" s="41"/>
      <c r="GD772" s="41"/>
      <c r="GE772" s="41"/>
      <c r="GF772" s="41"/>
      <c r="GG772" s="41"/>
      <c r="GH772" s="41"/>
      <c r="GI772" s="41"/>
      <c r="GJ772" s="41"/>
      <c r="GK772" s="41"/>
      <c r="GL772" s="41"/>
      <c r="GM772" s="41"/>
      <c r="GN772" s="41"/>
      <c r="GO772" s="41"/>
      <c r="GP772" s="41"/>
      <c r="GQ772" s="41"/>
      <c r="GR772" s="41"/>
      <c r="GS772" s="41"/>
      <c r="GT772" s="41"/>
      <c r="GU772" s="41"/>
      <c r="GV772" s="41"/>
      <c r="GW772" s="41"/>
      <c r="GX772" s="41"/>
      <c r="GY772" s="41"/>
      <c r="GZ772" s="41"/>
      <c r="HA772" s="41"/>
      <c r="HB772" s="41"/>
      <c r="HC772" s="41"/>
      <c r="HD772" s="41"/>
      <c r="HE772" s="41"/>
      <c r="HF772" s="41"/>
      <c r="HG772" s="41"/>
      <c r="HH772" s="41"/>
      <c r="HI772" s="41"/>
      <c r="HJ772" s="41"/>
      <c r="HK772" s="41"/>
      <c r="HL772" s="41"/>
      <c r="HM772" s="41"/>
      <c r="HN772" s="41"/>
      <c r="HO772" s="41"/>
      <c r="HP772" s="41"/>
      <c r="HQ772" s="41"/>
      <c r="HR772" s="41"/>
      <c r="HS772" s="41"/>
      <c r="HT772" s="41"/>
      <c r="HU772" s="41"/>
      <c r="HV772" s="41"/>
      <c r="HW772" s="41"/>
      <c r="HX772" s="41"/>
      <c r="HY772" s="41"/>
      <c r="HZ772" s="41"/>
      <c r="IA772" s="41"/>
      <c r="IB772" s="41"/>
      <c r="IC772" s="41"/>
      <c r="ID772" s="41"/>
      <c r="IE772" s="41"/>
      <c r="IF772" s="41"/>
      <c r="IG772" s="41"/>
      <c r="IH772" s="41"/>
      <c r="II772" s="41"/>
      <c r="IJ772" s="41"/>
      <c r="IK772" s="41"/>
      <c r="IL772" s="41"/>
    </row>
    <row r="773" spans="1:246" s="3" customFormat="1" x14ac:dyDescent="0.2">
      <c r="A773" s="20">
        <v>3635</v>
      </c>
      <c r="B773" s="19" t="s">
        <v>25</v>
      </c>
      <c r="C773" s="18">
        <f>SUM(C774+C775)</f>
        <v>350000</v>
      </c>
      <c r="D773" s="18">
        <f>SUM(D774+D775)</f>
        <v>350000</v>
      </c>
      <c r="E773" s="715">
        <v>0</v>
      </c>
      <c r="F773" s="206">
        <f>SUM(E774:E775)</f>
        <v>0</v>
      </c>
      <c r="G773" s="120">
        <f t="shared" si="222"/>
        <v>0</v>
      </c>
      <c r="H773" s="121">
        <f t="shared" si="223"/>
        <v>0</v>
      </c>
      <c r="I773" s="121">
        <f t="shared" si="225"/>
        <v>0</v>
      </c>
      <c r="J773" s="14">
        <v>117750</v>
      </c>
      <c r="K773" s="41"/>
      <c r="L773" s="41"/>
      <c r="M773" s="41"/>
      <c r="N773" s="41"/>
      <c r="O773" s="41"/>
      <c r="P773" s="41"/>
      <c r="Q773" s="41"/>
      <c r="R773" s="41"/>
      <c r="S773" s="41"/>
      <c r="T773" s="41"/>
      <c r="U773" s="41"/>
      <c r="V773" s="41"/>
      <c r="W773" s="41"/>
      <c r="X773" s="41"/>
      <c r="Y773" s="41"/>
      <c r="Z773" s="41"/>
      <c r="AA773" s="41"/>
      <c r="AB773" s="41"/>
      <c r="AC773" s="41"/>
      <c r="AD773" s="41"/>
      <c r="AE773" s="41"/>
      <c r="AF773" s="41"/>
      <c r="AG773" s="41"/>
      <c r="AH773" s="41"/>
      <c r="AI773" s="41"/>
      <c r="AJ773" s="41"/>
      <c r="AK773" s="41"/>
      <c r="AL773" s="41"/>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c r="CT773" s="41"/>
      <c r="CU773" s="41"/>
      <c r="CV773" s="41"/>
      <c r="CW773" s="41"/>
      <c r="CX773" s="41"/>
      <c r="CY773" s="41"/>
      <c r="CZ773" s="41"/>
      <c r="DA773" s="41"/>
      <c r="DB773" s="41"/>
      <c r="DC773" s="41"/>
      <c r="DD773" s="41"/>
      <c r="DE773" s="41"/>
      <c r="DF773" s="41"/>
      <c r="DG773" s="41"/>
      <c r="DH773" s="41"/>
      <c r="DI773" s="41"/>
      <c r="DJ773" s="41"/>
      <c r="DK773" s="41"/>
      <c r="DL773" s="41"/>
      <c r="DM773" s="41"/>
      <c r="DN773" s="41"/>
      <c r="DO773" s="41"/>
      <c r="DP773" s="41"/>
      <c r="DQ773" s="41"/>
      <c r="DR773" s="41"/>
      <c r="DS773" s="41"/>
      <c r="DT773" s="41"/>
      <c r="DU773" s="41"/>
      <c r="DV773" s="41"/>
      <c r="DW773" s="41"/>
      <c r="DX773" s="41"/>
      <c r="DY773" s="41"/>
      <c r="DZ773" s="41"/>
      <c r="EA773" s="41"/>
      <c r="EB773" s="41"/>
      <c r="EC773" s="41"/>
      <c r="ED773" s="41"/>
      <c r="EE773" s="41"/>
      <c r="EF773" s="41"/>
      <c r="EG773" s="41"/>
      <c r="EH773" s="41"/>
      <c r="EI773" s="41"/>
      <c r="EJ773" s="41"/>
      <c r="EK773" s="41"/>
      <c r="EL773" s="41"/>
      <c r="EM773" s="41"/>
      <c r="EN773" s="41"/>
      <c r="EO773" s="41"/>
      <c r="EP773" s="41"/>
      <c r="EQ773" s="41"/>
      <c r="ER773" s="41"/>
      <c r="ES773" s="41"/>
      <c r="ET773" s="41"/>
      <c r="EU773" s="41"/>
      <c r="EV773" s="41"/>
      <c r="EW773" s="41"/>
      <c r="EX773" s="41"/>
      <c r="EY773" s="41"/>
      <c r="EZ773" s="41"/>
      <c r="FA773" s="41"/>
      <c r="FB773" s="41"/>
      <c r="FC773" s="41"/>
      <c r="FD773" s="41"/>
      <c r="FE773" s="41"/>
      <c r="FF773" s="41"/>
      <c r="FG773" s="41"/>
      <c r="FH773" s="41"/>
      <c r="FI773" s="41"/>
      <c r="FJ773" s="41"/>
      <c r="FK773" s="41"/>
      <c r="FL773" s="41"/>
      <c r="FM773" s="41"/>
      <c r="FN773" s="41"/>
      <c r="FO773" s="41"/>
      <c r="FP773" s="41"/>
      <c r="FQ773" s="41"/>
      <c r="FR773" s="41"/>
      <c r="FS773" s="41"/>
      <c r="FT773" s="41"/>
      <c r="FU773" s="41"/>
      <c r="FV773" s="41"/>
      <c r="FW773" s="41"/>
      <c r="FX773" s="41"/>
      <c r="FY773" s="41"/>
      <c r="FZ773" s="41"/>
      <c r="GA773" s="41"/>
      <c r="GB773" s="41"/>
      <c r="GC773" s="41"/>
      <c r="GD773" s="41"/>
      <c r="GE773" s="41"/>
      <c r="GF773" s="41"/>
      <c r="GG773" s="41"/>
      <c r="GH773" s="41"/>
      <c r="GI773" s="41"/>
      <c r="GJ773" s="41"/>
      <c r="GK773" s="41"/>
      <c r="GL773" s="41"/>
      <c r="GM773" s="41"/>
      <c r="GN773" s="41"/>
      <c r="GO773" s="41"/>
      <c r="GP773" s="41"/>
      <c r="GQ773" s="41"/>
      <c r="GR773" s="41"/>
      <c r="GS773" s="41"/>
      <c r="GT773" s="41"/>
      <c r="GU773" s="41"/>
      <c r="GV773" s="41"/>
      <c r="GW773" s="41"/>
      <c r="GX773" s="41"/>
      <c r="GY773" s="41"/>
      <c r="GZ773" s="41"/>
      <c r="HA773" s="41"/>
      <c r="HB773" s="41"/>
      <c r="HC773" s="41"/>
      <c r="HD773" s="41"/>
      <c r="HE773" s="41"/>
      <c r="HF773" s="41"/>
      <c r="HG773" s="41"/>
      <c r="HH773" s="41"/>
      <c r="HI773" s="41"/>
      <c r="HJ773" s="41"/>
      <c r="HK773" s="41"/>
      <c r="HL773" s="41"/>
      <c r="HM773" s="41"/>
      <c r="HN773" s="41"/>
      <c r="HO773" s="41"/>
      <c r="HP773" s="41"/>
      <c r="HQ773" s="41"/>
      <c r="HR773" s="41"/>
      <c r="HS773" s="41"/>
      <c r="HT773" s="41"/>
      <c r="HU773" s="41"/>
      <c r="HV773" s="41"/>
      <c r="HW773" s="41"/>
      <c r="HX773" s="41"/>
      <c r="HY773" s="41"/>
      <c r="HZ773" s="41"/>
      <c r="IA773" s="41"/>
      <c r="IB773" s="41"/>
      <c r="IC773" s="41"/>
      <c r="ID773" s="41"/>
      <c r="IE773" s="41"/>
      <c r="IF773" s="41"/>
      <c r="IG773" s="41"/>
      <c r="IH773" s="41"/>
      <c r="II773" s="41"/>
      <c r="IJ773" s="41"/>
      <c r="IK773" s="41"/>
      <c r="IL773" s="41"/>
    </row>
    <row r="774" spans="1:246" s="3" customFormat="1" x14ac:dyDescent="0.2">
      <c r="A774" s="16"/>
      <c r="B774" s="15" t="s">
        <v>24</v>
      </c>
      <c r="C774" s="9">
        <v>50000</v>
      </c>
      <c r="D774" s="9">
        <v>50000</v>
      </c>
      <c r="E774" s="719">
        <v>0</v>
      </c>
      <c r="F774" s="496"/>
      <c r="G774" s="126">
        <f t="shared" si="222"/>
        <v>0</v>
      </c>
      <c r="H774" s="130">
        <f t="shared" si="223"/>
        <v>0</v>
      </c>
      <c r="I774" s="130">
        <v>0</v>
      </c>
      <c r="J774" s="6">
        <v>0</v>
      </c>
      <c r="K774" s="41"/>
      <c r="L774" s="41"/>
      <c r="M774" s="41"/>
      <c r="N774" s="41"/>
      <c r="O774" s="41"/>
      <c r="P774" s="41"/>
      <c r="Q774" s="41"/>
      <c r="R774" s="41"/>
      <c r="S774" s="41"/>
      <c r="T774" s="41"/>
      <c r="U774" s="41"/>
      <c r="V774" s="41"/>
      <c r="W774" s="41"/>
      <c r="X774" s="41"/>
      <c r="Y774" s="41"/>
      <c r="Z774" s="41"/>
      <c r="AA774" s="41"/>
      <c r="AB774" s="41"/>
      <c r="AC774" s="41"/>
      <c r="AD774" s="41"/>
      <c r="AE774" s="41"/>
      <c r="AF774" s="41"/>
      <c r="AG774" s="41"/>
      <c r="AH774" s="41"/>
      <c r="AI774" s="41"/>
      <c r="AJ774" s="41"/>
      <c r="AK774" s="41"/>
      <c r="AL774" s="41"/>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c r="CT774" s="41"/>
      <c r="CU774" s="41"/>
      <c r="CV774" s="41"/>
      <c r="CW774" s="41"/>
      <c r="CX774" s="41"/>
      <c r="CY774" s="41"/>
      <c r="CZ774" s="41"/>
      <c r="DA774" s="41"/>
      <c r="DB774" s="41"/>
      <c r="DC774" s="41"/>
      <c r="DD774" s="41"/>
      <c r="DE774" s="41"/>
      <c r="DF774" s="41"/>
      <c r="DG774" s="41"/>
      <c r="DH774" s="41"/>
      <c r="DI774" s="41"/>
      <c r="DJ774" s="41"/>
      <c r="DK774" s="41"/>
      <c r="DL774" s="41"/>
      <c r="DM774" s="41"/>
      <c r="DN774" s="41"/>
      <c r="DO774" s="41"/>
      <c r="DP774" s="41"/>
      <c r="DQ774" s="41"/>
      <c r="DR774" s="41"/>
      <c r="DS774" s="41"/>
      <c r="DT774" s="41"/>
      <c r="DU774" s="41"/>
      <c r="DV774" s="41"/>
      <c r="DW774" s="41"/>
      <c r="DX774" s="41"/>
      <c r="DY774" s="41"/>
      <c r="DZ774" s="41"/>
      <c r="EA774" s="41"/>
      <c r="EB774" s="41"/>
      <c r="EC774" s="41"/>
      <c r="ED774" s="41"/>
      <c r="EE774" s="41"/>
      <c r="EF774" s="41"/>
      <c r="EG774" s="41"/>
      <c r="EH774" s="41"/>
      <c r="EI774" s="41"/>
      <c r="EJ774" s="41"/>
      <c r="EK774" s="41"/>
      <c r="EL774" s="41"/>
      <c r="EM774" s="41"/>
      <c r="EN774" s="41"/>
      <c r="EO774" s="41"/>
      <c r="EP774" s="41"/>
      <c r="EQ774" s="41"/>
      <c r="ER774" s="41"/>
      <c r="ES774" s="41"/>
      <c r="ET774" s="41"/>
      <c r="EU774" s="41"/>
      <c r="EV774" s="41"/>
      <c r="EW774" s="41"/>
      <c r="EX774" s="41"/>
      <c r="EY774" s="41"/>
      <c r="EZ774" s="41"/>
      <c r="FA774" s="41"/>
      <c r="FB774" s="41"/>
      <c r="FC774" s="41"/>
      <c r="FD774" s="41"/>
      <c r="FE774" s="41"/>
      <c r="FF774" s="41"/>
      <c r="FG774" s="41"/>
      <c r="FH774" s="41"/>
      <c r="FI774" s="41"/>
      <c r="FJ774" s="41"/>
      <c r="FK774" s="41"/>
      <c r="FL774" s="41"/>
      <c r="FM774" s="41"/>
      <c r="FN774" s="41"/>
      <c r="FO774" s="41"/>
      <c r="FP774" s="41"/>
      <c r="FQ774" s="41"/>
      <c r="FR774" s="41"/>
      <c r="FS774" s="41"/>
      <c r="FT774" s="41"/>
      <c r="FU774" s="41"/>
      <c r="FV774" s="41"/>
      <c r="FW774" s="41"/>
      <c r="FX774" s="41"/>
      <c r="FY774" s="41"/>
      <c r="FZ774" s="41"/>
      <c r="GA774" s="41"/>
      <c r="GB774" s="41"/>
      <c r="GC774" s="41"/>
      <c r="GD774" s="41"/>
      <c r="GE774" s="41"/>
      <c r="GF774" s="41"/>
      <c r="GG774" s="41"/>
      <c r="GH774" s="41"/>
      <c r="GI774" s="41"/>
      <c r="GJ774" s="41"/>
      <c r="GK774" s="41"/>
      <c r="GL774" s="41"/>
      <c r="GM774" s="41"/>
      <c r="GN774" s="41"/>
      <c r="GO774" s="41"/>
      <c r="GP774" s="41"/>
      <c r="GQ774" s="41"/>
      <c r="GR774" s="41"/>
      <c r="GS774" s="41"/>
      <c r="GT774" s="41"/>
      <c r="GU774" s="41"/>
      <c r="GV774" s="41"/>
      <c r="GW774" s="41"/>
      <c r="GX774" s="41"/>
      <c r="GY774" s="41"/>
      <c r="GZ774" s="41"/>
      <c r="HA774" s="41"/>
      <c r="HB774" s="41"/>
      <c r="HC774" s="41"/>
      <c r="HD774" s="41"/>
      <c r="HE774" s="41"/>
      <c r="HF774" s="41"/>
      <c r="HG774" s="41"/>
      <c r="HH774" s="41"/>
      <c r="HI774" s="41"/>
      <c r="HJ774" s="41"/>
      <c r="HK774" s="41"/>
      <c r="HL774" s="41"/>
      <c r="HM774" s="41"/>
      <c r="HN774" s="41"/>
      <c r="HO774" s="41"/>
      <c r="HP774" s="41"/>
      <c r="HQ774" s="41"/>
      <c r="HR774" s="41"/>
      <c r="HS774" s="41"/>
      <c r="HT774" s="41"/>
      <c r="HU774" s="41"/>
      <c r="HV774" s="41"/>
      <c r="HW774" s="41"/>
      <c r="HX774" s="41"/>
      <c r="HY774" s="41"/>
      <c r="HZ774" s="41"/>
      <c r="IA774" s="41"/>
      <c r="IB774" s="41"/>
      <c r="IC774" s="41"/>
      <c r="ID774" s="41"/>
      <c r="IE774" s="41"/>
      <c r="IF774" s="41"/>
      <c r="IG774" s="41"/>
      <c r="IH774" s="41"/>
      <c r="II774" s="41"/>
      <c r="IJ774" s="41"/>
      <c r="IK774" s="41"/>
      <c r="IL774" s="41"/>
    </row>
    <row r="775" spans="1:246" s="3" customFormat="1" ht="13.5" thickBot="1" x14ac:dyDescent="0.25">
      <c r="A775" s="16"/>
      <c r="B775" s="15" t="s">
        <v>23</v>
      </c>
      <c r="C775" s="9">
        <v>300000</v>
      </c>
      <c r="D775" s="9">
        <v>300000</v>
      </c>
      <c r="E775" s="719">
        <v>0</v>
      </c>
      <c r="F775" s="496"/>
      <c r="G775" s="126">
        <f t="shared" si="222"/>
        <v>0</v>
      </c>
      <c r="H775" s="130">
        <f t="shared" si="223"/>
        <v>0</v>
      </c>
      <c r="I775" s="130">
        <v>0</v>
      </c>
      <c r="J775" s="6">
        <v>0</v>
      </c>
      <c r="K775" s="41"/>
      <c r="L775" s="41"/>
      <c r="M775" s="41"/>
      <c r="N775" s="41"/>
      <c r="O775" s="41"/>
      <c r="P775" s="41"/>
      <c r="Q775" s="41"/>
      <c r="R775" s="41"/>
      <c r="S775" s="41"/>
      <c r="T775" s="41"/>
      <c r="U775" s="41"/>
      <c r="V775" s="41"/>
      <c r="W775" s="41"/>
      <c r="X775" s="41"/>
      <c r="Y775" s="41"/>
      <c r="Z775" s="41"/>
      <c r="AA775" s="41"/>
      <c r="AB775" s="41"/>
      <c r="AC775" s="41"/>
      <c r="AD775" s="41"/>
      <c r="AE775" s="41"/>
      <c r="AF775" s="41"/>
      <c r="AG775" s="41"/>
      <c r="AH775" s="41"/>
      <c r="AI775" s="41"/>
      <c r="AJ775" s="41"/>
      <c r="AK775" s="41"/>
      <c r="AL775" s="41"/>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c r="CT775" s="41"/>
      <c r="CU775" s="41"/>
      <c r="CV775" s="41"/>
      <c r="CW775" s="41"/>
      <c r="CX775" s="41"/>
      <c r="CY775" s="41"/>
      <c r="CZ775" s="41"/>
      <c r="DA775" s="41"/>
      <c r="DB775" s="41"/>
      <c r="DC775" s="41"/>
      <c r="DD775" s="41"/>
      <c r="DE775" s="41"/>
      <c r="DF775" s="41"/>
      <c r="DG775" s="41"/>
      <c r="DH775" s="41"/>
      <c r="DI775" s="41"/>
      <c r="DJ775" s="41"/>
      <c r="DK775" s="41"/>
      <c r="DL775" s="41"/>
      <c r="DM775" s="41"/>
      <c r="DN775" s="41"/>
      <c r="DO775" s="41"/>
      <c r="DP775" s="41"/>
      <c r="DQ775" s="41"/>
      <c r="DR775" s="41"/>
      <c r="DS775" s="41"/>
      <c r="DT775" s="41"/>
      <c r="DU775" s="41"/>
      <c r="DV775" s="41"/>
      <c r="DW775" s="41"/>
      <c r="DX775" s="41"/>
      <c r="DY775" s="41"/>
      <c r="DZ775" s="41"/>
      <c r="EA775" s="41"/>
      <c r="EB775" s="41"/>
      <c r="EC775" s="41"/>
      <c r="ED775" s="41"/>
      <c r="EE775" s="41"/>
      <c r="EF775" s="41"/>
      <c r="EG775" s="41"/>
      <c r="EH775" s="41"/>
      <c r="EI775" s="41"/>
      <c r="EJ775" s="41"/>
      <c r="EK775" s="41"/>
      <c r="EL775" s="41"/>
      <c r="EM775" s="41"/>
      <c r="EN775" s="41"/>
      <c r="EO775" s="41"/>
      <c r="EP775" s="41"/>
      <c r="EQ775" s="41"/>
      <c r="ER775" s="41"/>
      <c r="ES775" s="41"/>
      <c r="ET775" s="41"/>
      <c r="EU775" s="41"/>
      <c r="EV775" s="41"/>
      <c r="EW775" s="41"/>
      <c r="EX775" s="41"/>
      <c r="EY775" s="41"/>
      <c r="EZ775" s="41"/>
      <c r="FA775" s="41"/>
      <c r="FB775" s="41"/>
      <c r="FC775" s="41"/>
      <c r="FD775" s="41"/>
      <c r="FE775" s="41"/>
      <c r="FF775" s="41"/>
      <c r="FG775" s="41"/>
      <c r="FH775" s="41"/>
      <c r="FI775" s="41"/>
      <c r="FJ775" s="41"/>
      <c r="FK775" s="41"/>
      <c r="FL775" s="41"/>
      <c r="FM775" s="41"/>
      <c r="FN775" s="41"/>
      <c r="FO775" s="41"/>
      <c r="FP775" s="41"/>
      <c r="FQ775" s="41"/>
      <c r="FR775" s="41"/>
      <c r="FS775" s="41"/>
      <c r="FT775" s="41"/>
      <c r="FU775" s="41"/>
      <c r="FV775" s="41"/>
      <c r="FW775" s="41"/>
      <c r="FX775" s="41"/>
      <c r="FY775" s="41"/>
      <c r="FZ775" s="41"/>
      <c r="GA775" s="41"/>
      <c r="GB775" s="41"/>
      <c r="GC775" s="41"/>
      <c r="GD775" s="41"/>
      <c r="GE775" s="41"/>
      <c r="GF775" s="41"/>
      <c r="GG775" s="41"/>
      <c r="GH775" s="41"/>
      <c r="GI775" s="41"/>
      <c r="GJ775" s="41"/>
      <c r="GK775" s="41"/>
      <c r="GL775" s="41"/>
      <c r="GM775" s="41"/>
      <c r="GN775" s="41"/>
      <c r="GO775" s="41"/>
      <c r="GP775" s="41"/>
      <c r="GQ775" s="41"/>
      <c r="GR775" s="41"/>
      <c r="GS775" s="41"/>
      <c r="GT775" s="41"/>
      <c r="GU775" s="41"/>
      <c r="GV775" s="41"/>
      <c r="GW775" s="41"/>
      <c r="GX775" s="41"/>
      <c r="GY775" s="41"/>
      <c r="GZ775" s="41"/>
      <c r="HA775" s="41"/>
      <c r="HB775" s="41"/>
      <c r="HC775" s="41"/>
      <c r="HD775" s="41"/>
      <c r="HE775" s="41"/>
      <c r="HF775" s="41"/>
      <c r="HG775" s="41"/>
      <c r="HH775" s="41"/>
      <c r="HI775" s="41"/>
      <c r="HJ775" s="41"/>
      <c r="HK775" s="41"/>
      <c r="HL775" s="41"/>
      <c r="HM775" s="41"/>
      <c r="HN775" s="41"/>
      <c r="HO775" s="41"/>
      <c r="HP775" s="41"/>
      <c r="HQ775" s="41"/>
      <c r="HR775" s="41"/>
      <c r="HS775" s="41"/>
      <c r="HT775" s="41"/>
      <c r="HU775" s="41"/>
      <c r="HV775" s="41"/>
      <c r="HW775" s="41"/>
      <c r="HX775" s="41"/>
      <c r="HY775" s="41"/>
      <c r="HZ775" s="41"/>
      <c r="IA775" s="41"/>
      <c r="IB775" s="41"/>
      <c r="IC775" s="41"/>
      <c r="ID775" s="41"/>
      <c r="IE775" s="41"/>
      <c r="IF775" s="41"/>
      <c r="IG775" s="41"/>
      <c r="IH775" s="41"/>
      <c r="II775" s="41"/>
      <c r="IJ775" s="41"/>
      <c r="IK775" s="41"/>
      <c r="IL775" s="41"/>
    </row>
    <row r="776" spans="1:246" s="3" customFormat="1" ht="16.5" thickBot="1" x14ac:dyDescent="0.3">
      <c r="A776" s="45"/>
      <c r="B776" s="44" t="s">
        <v>22</v>
      </c>
      <c r="C776" s="43">
        <v>0</v>
      </c>
      <c r="D776" s="43">
        <v>0</v>
      </c>
      <c r="E776" s="479">
        <v>0</v>
      </c>
      <c r="F776" s="536"/>
      <c r="G776" s="479">
        <v>0</v>
      </c>
      <c r="H776" s="479">
        <v>0</v>
      </c>
      <c r="I776" s="479">
        <v>0</v>
      </c>
      <c r="J776" s="6">
        <v>0</v>
      </c>
      <c r="K776" s="41"/>
      <c r="L776" s="41"/>
      <c r="M776" s="41"/>
      <c r="N776" s="41"/>
      <c r="O776" s="41"/>
      <c r="P776" s="41"/>
      <c r="Q776" s="41"/>
      <c r="R776" s="41"/>
      <c r="S776" s="41"/>
      <c r="T776" s="41"/>
      <c r="U776" s="41"/>
      <c r="V776" s="41"/>
      <c r="W776" s="41"/>
      <c r="X776" s="41"/>
      <c r="Y776" s="41"/>
      <c r="Z776" s="41"/>
      <c r="AA776" s="41"/>
      <c r="AB776" s="41"/>
      <c r="AC776" s="41"/>
      <c r="AD776" s="41"/>
      <c r="AE776" s="41"/>
      <c r="AF776" s="41"/>
      <c r="AG776" s="41"/>
      <c r="AH776" s="41"/>
      <c r="AI776" s="41"/>
      <c r="AJ776" s="41"/>
      <c r="AK776" s="41"/>
      <c r="AL776" s="41"/>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c r="CT776" s="41"/>
      <c r="CU776" s="41"/>
      <c r="CV776" s="41"/>
      <c r="CW776" s="41"/>
      <c r="CX776" s="41"/>
      <c r="CY776" s="41"/>
      <c r="CZ776" s="41"/>
      <c r="DA776" s="41"/>
      <c r="DB776" s="41"/>
      <c r="DC776" s="41"/>
      <c r="DD776" s="41"/>
      <c r="DE776" s="41"/>
      <c r="DF776" s="41"/>
      <c r="DG776" s="41"/>
      <c r="DH776" s="41"/>
      <c r="DI776" s="41"/>
      <c r="DJ776" s="41"/>
      <c r="DK776" s="41"/>
      <c r="DL776" s="41"/>
      <c r="DM776" s="41"/>
      <c r="DN776" s="41"/>
      <c r="DO776" s="41"/>
      <c r="DP776" s="41"/>
      <c r="DQ776" s="41"/>
      <c r="DR776" s="41"/>
      <c r="DS776" s="41"/>
      <c r="DT776" s="41"/>
      <c r="DU776" s="41"/>
      <c r="DV776" s="41"/>
      <c r="DW776" s="41"/>
      <c r="DX776" s="41"/>
      <c r="DY776" s="41"/>
      <c r="DZ776" s="41"/>
      <c r="EA776" s="41"/>
      <c r="EB776" s="41"/>
      <c r="EC776" s="41"/>
      <c r="ED776" s="41"/>
      <c r="EE776" s="41"/>
      <c r="EF776" s="41"/>
      <c r="EG776" s="41"/>
      <c r="EH776" s="41"/>
      <c r="EI776" s="41"/>
      <c r="EJ776" s="41"/>
      <c r="EK776" s="41"/>
      <c r="EL776" s="41"/>
      <c r="EM776" s="41"/>
      <c r="EN776" s="41"/>
      <c r="EO776" s="41"/>
      <c r="EP776" s="41"/>
      <c r="EQ776" s="41"/>
      <c r="ER776" s="41"/>
      <c r="ES776" s="41"/>
      <c r="ET776" s="41"/>
      <c r="EU776" s="41"/>
      <c r="EV776" s="41"/>
      <c r="EW776" s="41"/>
      <c r="EX776" s="41"/>
      <c r="EY776" s="41"/>
      <c r="EZ776" s="41"/>
      <c r="FA776" s="41"/>
      <c r="FB776" s="41"/>
      <c r="FC776" s="41"/>
      <c r="FD776" s="41"/>
      <c r="FE776" s="41"/>
      <c r="FF776" s="41"/>
      <c r="FG776" s="41"/>
      <c r="FH776" s="41"/>
      <c r="FI776" s="41"/>
      <c r="FJ776" s="41"/>
      <c r="FK776" s="41"/>
      <c r="FL776" s="41"/>
      <c r="FM776" s="41"/>
      <c r="FN776" s="41"/>
      <c r="FO776" s="41"/>
      <c r="FP776" s="41"/>
      <c r="FQ776" s="41"/>
      <c r="FR776" s="41"/>
      <c r="FS776" s="41"/>
      <c r="FT776" s="41"/>
      <c r="FU776" s="41"/>
      <c r="FV776" s="41"/>
      <c r="FW776" s="41"/>
      <c r="FX776" s="41"/>
      <c r="FY776" s="41"/>
      <c r="FZ776" s="41"/>
      <c r="GA776" s="41"/>
      <c r="GB776" s="41"/>
      <c r="GC776" s="41"/>
      <c r="GD776" s="41"/>
      <c r="GE776" s="41"/>
      <c r="GF776" s="41"/>
      <c r="GG776" s="41"/>
      <c r="GH776" s="41"/>
      <c r="GI776" s="41"/>
      <c r="GJ776" s="41"/>
      <c r="GK776" s="41"/>
      <c r="GL776" s="41"/>
      <c r="GM776" s="41"/>
      <c r="GN776" s="41"/>
      <c r="GO776" s="41"/>
      <c r="GP776" s="41"/>
      <c r="GQ776" s="41"/>
      <c r="GR776" s="41"/>
      <c r="GS776" s="41"/>
      <c r="GT776" s="41"/>
      <c r="GU776" s="41"/>
      <c r="GV776" s="41"/>
      <c r="GW776" s="41"/>
      <c r="GX776" s="41"/>
      <c r="GY776" s="41"/>
      <c r="GZ776" s="41"/>
      <c r="HA776" s="41"/>
      <c r="HB776" s="41"/>
      <c r="HC776" s="41"/>
      <c r="HD776" s="41"/>
      <c r="HE776" s="41"/>
      <c r="HF776" s="41"/>
      <c r="HG776" s="41"/>
      <c r="HH776" s="41"/>
      <c r="HI776" s="41"/>
      <c r="HJ776" s="41"/>
      <c r="HK776" s="41"/>
      <c r="HL776" s="41"/>
      <c r="HM776" s="41"/>
      <c r="HN776" s="41"/>
      <c r="HO776" s="41"/>
      <c r="HP776" s="41"/>
      <c r="HQ776" s="41"/>
      <c r="HR776" s="41"/>
      <c r="HS776" s="41"/>
      <c r="HT776" s="41"/>
      <c r="HU776" s="41"/>
      <c r="HV776" s="41"/>
      <c r="HW776" s="41"/>
      <c r="HX776" s="41"/>
      <c r="HY776" s="41"/>
      <c r="HZ776" s="41"/>
      <c r="IA776" s="41"/>
      <c r="IB776" s="41"/>
      <c r="IC776" s="41"/>
      <c r="ID776" s="41"/>
      <c r="IE776" s="41"/>
      <c r="IF776" s="41"/>
      <c r="IG776" s="41"/>
      <c r="IH776" s="41"/>
      <c r="II776" s="41"/>
      <c r="IJ776" s="41"/>
      <c r="IK776" s="41"/>
      <c r="IL776" s="41"/>
    </row>
    <row r="777" spans="1:246" s="3" customFormat="1" x14ac:dyDescent="0.2">
      <c r="A777" s="42">
        <v>3699</v>
      </c>
      <c r="B777" s="29" t="s">
        <v>21</v>
      </c>
      <c r="C777" s="24">
        <v>0</v>
      </c>
      <c r="D777" s="24">
        <v>0</v>
      </c>
      <c r="E777" s="527">
        <v>0</v>
      </c>
      <c r="F777" s="532"/>
      <c r="G777" s="120">
        <v>0</v>
      </c>
      <c r="H777" s="121">
        <v>0</v>
      </c>
      <c r="I777" s="121">
        <v>0</v>
      </c>
      <c r="J777" s="14">
        <v>0</v>
      </c>
      <c r="K777" s="41"/>
      <c r="L777" s="41"/>
      <c r="M777" s="41"/>
      <c r="N777" s="41"/>
      <c r="O777" s="41"/>
      <c r="P777" s="41"/>
      <c r="Q777" s="41"/>
      <c r="R777" s="41"/>
      <c r="S777" s="41"/>
      <c r="T777" s="41"/>
      <c r="U777" s="41"/>
      <c r="V777" s="41"/>
      <c r="W777" s="41"/>
      <c r="X777" s="41"/>
      <c r="Y777" s="41"/>
      <c r="Z777" s="41"/>
      <c r="AA777" s="41"/>
      <c r="AB777" s="41"/>
      <c r="AC777" s="41"/>
      <c r="AD777" s="41"/>
      <c r="AE777" s="41"/>
      <c r="AF777" s="41"/>
      <c r="AG777" s="41"/>
      <c r="AH777" s="41"/>
      <c r="AI777" s="41"/>
      <c r="AJ777" s="41"/>
      <c r="AK777" s="41"/>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c r="CT777" s="41"/>
      <c r="CU777" s="41"/>
      <c r="CV777" s="41"/>
      <c r="CW777" s="41"/>
      <c r="CX777" s="41"/>
      <c r="CY777" s="41"/>
      <c r="CZ777" s="41"/>
      <c r="DA777" s="41"/>
      <c r="DB777" s="41"/>
      <c r="DC777" s="41"/>
      <c r="DD777" s="41"/>
      <c r="DE777" s="41"/>
      <c r="DF777" s="41"/>
      <c r="DG777" s="41"/>
      <c r="DH777" s="41"/>
      <c r="DI777" s="41"/>
      <c r="DJ777" s="41"/>
      <c r="DK777" s="41"/>
      <c r="DL777" s="41"/>
      <c r="DM777" s="41"/>
      <c r="DN777" s="41"/>
      <c r="DO777" s="41"/>
      <c r="DP777" s="41"/>
      <c r="DQ777" s="41"/>
      <c r="DR777" s="41"/>
      <c r="DS777" s="41"/>
      <c r="DT777" s="41"/>
      <c r="DU777" s="41"/>
      <c r="DV777" s="41"/>
      <c r="DW777" s="41"/>
      <c r="DX777" s="41"/>
      <c r="DY777" s="41"/>
      <c r="DZ777" s="41"/>
      <c r="EA777" s="41"/>
      <c r="EB777" s="41"/>
      <c r="EC777" s="41"/>
      <c r="ED777" s="41"/>
      <c r="EE777" s="41"/>
      <c r="EF777" s="41"/>
      <c r="EG777" s="41"/>
      <c r="EH777" s="41"/>
      <c r="EI777" s="41"/>
      <c r="EJ777" s="41"/>
      <c r="EK777" s="41"/>
      <c r="EL777" s="41"/>
      <c r="EM777" s="41"/>
      <c r="EN777" s="41"/>
      <c r="EO777" s="41"/>
      <c r="EP777" s="41"/>
      <c r="EQ777" s="41"/>
      <c r="ER777" s="41"/>
      <c r="ES777" s="41"/>
      <c r="ET777" s="41"/>
      <c r="EU777" s="41"/>
      <c r="EV777" s="41"/>
      <c r="EW777" s="41"/>
      <c r="EX777" s="41"/>
      <c r="EY777" s="41"/>
      <c r="EZ777" s="41"/>
      <c r="FA777" s="41"/>
      <c r="FB777" s="41"/>
      <c r="FC777" s="41"/>
      <c r="FD777" s="41"/>
      <c r="FE777" s="41"/>
      <c r="FF777" s="41"/>
      <c r="FG777" s="41"/>
      <c r="FH777" s="41"/>
      <c r="FI777" s="41"/>
      <c r="FJ777" s="41"/>
      <c r="FK777" s="41"/>
      <c r="FL777" s="41"/>
      <c r="FM777" s="41"/>
      <c r="FN777" s="41"/>
      <c r="FO777" s="41"/>
      <c r="FP777" s="41"/>
      <c r="FQ777" s="41"/>
      <c r="FR777" s="41"/>
      <c r="FS777" s="41"/>
      <c r="FT777" s="41"/>
      <c r="FU777" s="41"/>
      <c r="FV777" s="41"/>
      <c r="FW777" s="41"/>
      <c r="FX777" s="41"/>
      <c r="FY777" s="41"/>
      <c r="FZ777" s="41"/>
      <c r="GA777" s="41"/>
      <c r="GB777" s="41"/>
      <c r="GC777" s="41"/>
      <c r="GD777" s="41"/>
      <c r="GE777" s="41"/>
      <c r="GF777" s="41"/>
      <c r="GG777" s="41"/>
      <c r="GH777" s="41"/>
      <c r="GI777" s="41"/>
      <c r="GJ777" s="41"/>
      <c r="GK777" s="41"/>
      <c r="GL777" s="41"/>
      <c r="GM777" s="41"/>
      <c r="GN777" s="41"/>
      <c r="GO777" s="41"/>
      <c r="GP777" s="41"/>
      <c r="GQ777" s="41"/>
      <c r="GR777" s="41"/>
      <c r="GS777" s="41"/>
      <c r="GT777" s="41"/>
      <c r="GU777" s="41"/>
      <c r="GV777" s="41"/>
      <c r="GW777" s="41"/>
      <c r="GX777" s="41"/>
      <c r="GY777" s="41"/>
      <c r="GZ777" s="41"/>
      <c r="HA777" s="41"/>
      <c r="HB777" s="41"/>
      <c r="HC777" s="41"/>
      <c r="HD777" s="41"/>
      <c r="HE777" s="41"/>
      <c r="HF777" s="41"/>
      <c r="HG777" s="41"/>
      <c r="HH777" s="41"/>
      <c r="HI777" s="41"/>
      <c r="HJ777" s="41"/>
      <c r="HK777" s="41"/>
      <c r="HL777" s="41"/>
      <c r="HM777" s="41"/>
      <c r="HN777" s="41"/>
      <c r="HO777" s="41"/>
      <c r="HP777" s="41"/>
      <c r="HQ777" s="41"/>
      <c r="HR777" s="41"/>
      <c r="HS777" s="41"/>
      <c r="HT777" s="41"/>
      <c r="HU777" s="41"/>
      <c r="HV777" s="41"/>
      <c r="HW777" s="41"/>
      <c r="HX777" s="41"/>
      <c r="HY777" s="41"/>
      <c r="HZ777" s="41"/>
      <c r="IA777" s="41"/>
      <c r="IB777" s="41"/>
      <c r="IC777" s="41"/>
      <c r="ID777" s="41"/>
      <c r="IE777" s="41"/>
      <c r="IF777" s="41"/>
      <c r="IG777" s="41"/>
      <c r="IH777" s="41"/>
      <c r="II777" s="41"/>
      <c r="IJ777" s="41"/>
      <c r="IK777" s="41"/>
      <c r="IL777" s="41"/>
    </row>
    <row r="778" spans="1:246" ht="13.5" thickBot="1" x14ac:dyDescent="0.25">
      <c r="A778" s="40"/>
      <c r="B778" s="39"/>
      <c r="C778" s="11"/>
      <c r="D778" s="11"/>
      <c r="E778" s="517"/>
      <c r="F778" s="518"/>
      <c r="G778" s="517"/>
      <c r="H778" s="517"/>
      <c r="I778" s="517"/>
      <c r="J778" s="568"/>
      <c r="K778" s="38"/>
      <c r="L778" s="38"/>
      <c r="M778" s="38"/>
      <c r="N778" s="38"/>
      <c r="O778" s="38"/>
      <c r="P778" s="38"/>
      <c r="Q778" s="38"/>
      <c r="R778" s="38"/>
      <c r="S778" s="38"/>
      <c r="T778" s="38"/>
      <c r="U778" s="38"/>
      <c r="V778" s="38"/>
      <c r="W778" s="38"/>
      <c r="X778" s="38"/>
      <c r="Y778" s="38"/>
      <c r="Z778" s="38"/>
      <c r="AA778" s="38"/>
      <c r="AB778" s="38"/>
      <c r="AC778" s="38"/>
      <c r="AD778" s="38"/>
      <c r="AE778" s="38"/>
      <c r="AF778" s="38"/>
      <c r="AG778" s="38"/>
      <c r="AH778" s="38"/>
      <c r="AI778" s="38"/>
      <c r="AJ778" s="38"/>
      <c r="AK778" s="38"/>
      <c r="AL778" s="38"/>
      <c r="AM778" s="38"/>
      <c r="AN778" s="38"/>
      <c r="AO778" s="38"/>
      <c r="AP778" s="38"/>
      <c r="AQ778" s="38"/>
      <c r="AR778" s="38"/>
      <c r="AS778" s="38"/>
      <c r="AT778" s="38"/>
      <c r="AU778" s="38"/>
      <c r="AV778" s="38"/>
      <c r="AW778" s="38"/>
      <c r="AX778" s="38"/>
      <c r="AY778" s="38"/>
      <c r="AZ778" s="38"/>
      <c r="BA778" s="38"/>
      <c r="BB778" s="38"/>
      <c r="BC778" s="38"/>
      <c r="BD778" s="38"/>
      <c r="BE778" s="38"/>
      <c r="BF778" s="38"/>
      <c r="BG778" s="38"/>
      <c r="BH778" s="38"/>
      <c r="BI778" s="38"/>
      <c r="BJ778" s="38"/>
      <c r="BK778" s="38"/>
      <c r="BL778" s="38"/>
      <c r="BM778" s="38"/>
      <c r="BN778" s="38"/>
      <c r="BO778" s="38"/>
      <c r="BP778" s="38"/>
      <c r="BQ778" s="38"/>
      <c r="BR778" s="38"/>
      <c r="BS778" s="38"/>
      <c r="BT778" s="38"/>
      <c r="BU778" s="38"/>
      <c r="BV778" s="38"/>
      <c r="BW778" s="38"/>
      <c r="BX778" s="38"/>
      <c r="BY778" s="38"/>
      <c r="BZ778" s="38"/>
      <c r="CA778" s="38"/>
      <c r="CB778" s="38"/>
      <c r="CC778" s="38"/>
      <c r="CD778" s="38"/>
      <c r="CE778" s="38"/>
      <c r="CF778" s="38"/>
      <c r="CG778" s="38"/>
      <c r="CH778" s="38"/>
      <c r="CI778" s="38"/>
      <c r="CJ778" s="38"/>
      <c r="CK778" s="38"/>
      <c r="CL778" s="38"/>
      <c r="CM778" s="38"/>
      <c r="CN778" s="38"/>
      <c r="CO778" s="38"/>
      <c r="CP778" s="38"/>
      <c r="CQ778" s="38"/>
      <c r="CR778" s="38"/>
      <c r="CS778" s="38"/>
      <c r="CT778" s="38"/>
      <c r="CU778" s="38"/>
      <c r="CV778" s="38"/>
      <c r="CW778" s="38"/>
      <c r="CX778" s="38"/>
      <c r="CY778" s="38"/>
      <c r="CZ778" s="38"/>
      <c r="DA778" s="38"/>
      <c r="DB778" s="38"/>
      <c r="DC778" s="38"/>
      <c r="DD778" s="38"/>
      <c r="DE778" s="38"/>
      <c r="DF778" s="38"/>
      <c r="DG778" s="38"/>
      <c r="DH778" s="38"/>
      <c r="DI778" s="38"/>
      <c r="DJ778" s="38"/>
      <c r="DK778" s="38"/>
      <c r="DL778" s="38"/>
      <c r="DM778" s="38"/>
      <c r="DN778" s="38"/>
      <c r="DO778" s="38"/>
      <c r="DP778" s="38"/>
      <c r="DQ778" s="38"/>
      <c r="DR778" s="38"/>
      <c r="DS778" s="38"/>
      <c r="DT778" s="38"/>
      <c r="DU778" s="38"/>
      <c r="DV778" s="38"/>
      <c r="DW778" s="38"/>
      <c r="DX778" s="38"/>
      <c r="DY778" s="38"/>
      <c r="DZ778" s="38"/>
      <c r="EA778" s="38"/>
      <c r="EB778" s="38"/>
      <c r="EC778" s="38"/>
      <c r="ED778" s="38"/>
      <c r="EE778" s="38"/>
      <c r="EF778" s="38"/>
      <c r="EG778" s="38"/>
      <c r="EH778" s="38"/>
      <c r="EI778" s="38"/>
      <c r="EJ778" s="38"/>
      <c r="EK778" s="38"/>
      <c r="EL778" s="38"/>
      <c r="EM778" s="38"/>
      <c r="EN778" s="38"/>
      <c r="EO778" s="38"/>
      <c r="EP778" s="38"/>
      <c r="EQ778" s="38"/>
      <c r="ER778" s="38"/>
      <c r="ES778" s="38"/>
      <c r="ET778" s="38"/>
      <c r="EU778" s="38"/>
      <c r="EV778" s="38"/>
      <c r="EW778" s="38"/>
      <c r="EX778" s="38"/>
      <c r="EY778" s="38"/>
      <c r="EZ778" s="38"/>
      <c r="FA778" s="38"/>
      <c r="FB778" s="38"/>
      <c r="FC778" s="38"/>
      <c r="FD778" s="38"/>
      <c r="FE778" s="38"/>
      <c r="FF778" s="38"/>
      <c r="FG778" s="38"/>
      <c r="FH778" s="38"/>
      <c r="FI778" s="38"/>
      <c r="FJ778" s="38"/>
      <c r="FK778" s="38"/>
      <c r="FL778" s="38"/>
      <c r="FM778" s="38"/>
      <c r="FN778" s="38"/>
      <c r="FO778" s="38"/>
      <c r="FP778" s="38"/>
      <c r="FQ778" s="38"/>
      <c r="FR778" s="38"/>
      <c r="FS778" s="38"/>
      <c r="FT778" s="38"/>
      <c r="FU778" s="38"/>
      <c r="FV778" s="38"/>
      <c r="FW778" s="38"/>
      <c r="FX778" s="38"/>
      <c r="FY778" s="38"/>
      <c r="FZ778" s="38"/>
      <c r="GA778" s="38"/>
      <c r="GB778" s="38"/>
      <c r="GC778" s="38"/>
      <c r="GD778" s="38"/>
      <c r="GE778" s="38"/>
      <c r="GF778" s="38"/>
      <c r="GG778" s="38"/>
      <c r="GH778" s="38"/>
      <c r="GI778" s="38"/>
      <c r="GJ778" s="38"/>
      <c r="GK778" s="38"/>
      <c r="GL778" s="38"/>
      <c r="GM778" s="38"/>
      <c r="GN778" s="38"/>
      <c r="GO778" s="38"/>
      <c r="GP778" s="38"/>
      <c r="GQ778" s="38"/>
      <c r="GR778" s="38"/>
      <c r="GS778" s="38"/>
      <c r="GT778" s="38"/>
      <c r="GU778" s="38"/>
      <c r="GV778" s="38"/>
      <c r="GW778" s="38"/>
      <c r="GX778" s="38"/>
      <c r="GY778" s="38"/>
      <c r="GZ778" s="38"/>
      <c r="HA778" s="38"/>
      <c r="HB778" s="38"/>
      <c r="HC778" s="38"/>
      <c r="HD778" s="38"/>
      <c r="HE778" s="38"/>
      <c r="HF778" s="38"/>
      <c r="HG778" s="38"/>
      <c r="HH778" s="38"/>
      <c r="HI778" s="38"/>
      <c r="HJ778" s="38"/>
      <c r="HK778" s="38"/>
      <c r="HL778" s="38"/>
      <c r="HM778" s="38"/>
      <c r="HN778" s="38"/>
      <c r="HO778" s="38"/>
      <c r="HP778" s="38"/>
      <c r="HQ778" s="38"/>
      <c r="HR778" s="38"/>
      <c r="HS778" s="38"/>
      <c r="HT778" s="38"/>
      <c r="HU778" s="38"/>
      <c r="HV778" s="38"/>
      <c r="HW778" s="38"/>
      <c r="HX778" s="38"/>
      <c r="HY778" s="38"/>
      <c r="HZ778" s="38"/>
      <c r="IA778" s="38"/>
      <c r="IB778" s="38"/>
      <c r="IC778" s="38"/>
      <c r="ID778" s="38"/>
      <c r="IE778" s="38"/>
      <c r="IF778" s="38"/>
      <c r="IG778" s="38"/>
      <c r="IH778" s="38"/>
      <c r="II778" s="38"/>
      <c r="IJ778" s="38"/>
      <c r="IK778" s="38"/>
      <c r="IL778" s="38"/>
    </row>
    <row r="779" spans="1:246" s="17" customFormat="1" ht="21" thickBot="1" x14ac:dyDescent="0.35">
      <c r="A779" s="37"/>
      <c r="B779" s="36" t="s">
        <v>20</v>
      </c>
      <c r="C779" s="35">
        <f>SUM(C780:C784,C786:C788,C791,C795)</f>
        <v>36184308.620000005</v>
      </c>
      <c r="D779" s="35">
        <f>SUM(D780:D784,D786:D788,D791,D795)</f>
        <v>50707248.560000002</v>
      </c>
      <c r="E779" s="181">
        <v>24564884.629999999</v>
      </c>
      <c r="F779" s="707">
        <f>SUM(E780:E784,E786:E788,E791,E795)</f>
        <v>24564884.629999999</v>
      </c>
      <c r="G779" s="571">
        <f>E779/C779*100</f>
        <v>67.888224390232935</v>
      </c>
      <c r="H779" s="181">
        <f t="shared" ref="H779:H797" si="226">E779/D779*100</f>
        <v>48.444522879077702</v>
      </c>
      <c r="I779" s="181">
        <f t="shared" ref="I779" si="227">E779/J779*100</f>
        <v>76.474189555576402</v>
      </c>
      <c r="J779" s="568">
        <v>32121797.920000002</v>
      </c>
    </row>
    <row r="780" spans="1:246" s="27" customFormat="1" ht="15.75" x14ac:dyDescent="0.2">
      <c r="A780" s="34" t="s">
        <v>787</v>
      </c>
      <c r="B780" s="33" t="s">
        <v>784</v>
      </c>
      <c r="C780" s="24">
        <v>10000</v>
      </c>
      <c r="D780" s="24">
        <v>10000</v>
      </c>
      <c r="E780" s="527">
        <v>10000</v>
      </c>
      <c r="F780" s="532"/>
      <c r="G780" s="120">
        <f t="shared" ref="G780:G797" si="228">E780/C780*100</f>
        <v>100</v>
      </c>
      <c r="H780" s="121">
        <f t="shared" si="226"/>
        <v>100</v>
      </c>
      <c r="I780" s="121">
        <f t="shared" ref="I780:I791" si="229">E780/J780*100</f>
        <v>20</v>
      </c>
      <c r="J780" s="568">
        <v>50000</v>
      </c>
    </row>
    <row r="781" spans="1:246" s="27" customFormat="1" ht="48.75" x14ac:dyDescent="0.2">
      <c r="A781" s="728" t="s">
        <v>974</v>
      </c>
      <c r="B781" s="32" t="s">
        <v>973</v>
      </c>
      <c r="C781" s="24">
        <f>6808.62+242500</f>
        <v>249308.62</v>
      </c>
      <c r="D781" s="24">
        <f>6808.62+242500</f>
        <v>249308.62</v>
      </c>
      <c r="E781" s="120">
        <v>124738.68</v>
      </c>
      <c r="F781" s="532"/>
      <c r="G781" s="120">
        <f t="shared" si="228"/>
        <v>50.033841589592853</v>
      </c>
      <c r="H781" s="121">
        <f t="shared" si="226"/>
        <v>50.033841589592853</v>
      </c>
      <c r="I781" s="121">
        <f t="shared" si="229"/>
        <v>97.63152218185985</v>
      </c>
      <c r="J781" s="574">
        <v>127764.76</v>
      </c>
    </row>
    <row r="782" spans="1:246" s="3" customFormat="1" ht="12.75" customHeight="1" x14ac:dyDescent="0.3">
      <c r="A782" s="20">
        <v>3111</v>
      </c>
      <c r="B782" s="19" t="s">
        <v>880</v>
      </c>
      <c r="C782" s="24">
        <v>0</v>
      </c>
      <c r="D782" s="24">
        <v>11654.14</v>
      </c>
      <c r="E782" s="527">
        <v>11654.14</v>
      </c>
      <c r="F782" s="532"/>
      <c r="G782" s="120">
        <v>0</v>
      </c>
      <c r="H782" s="121">
        <f t="shared" si="226"/>
        <v>100</v>
      </c>
      <c r="I782" s="121">
        <f t="shared" si="229"/>
        <v>42.477795467534435</v>
      </c>
      <c r="J782" s="568">
        <v>27435.84</v>
      </c>
      <c r="K782" s="31"/>
    </row>
    <row r="783" spans="1:246" s="3" customFormat="1" ht="12.75" customHeight="1" x14ac:dyDescent="0.3">
      <c r="A783" s="20">
        <v>3634</v>
      </c>
      <c r="B783" s="19" t="s">
        <v>15</v>
      </c>
      <c r="C783" s="24">
        <v>8000000</v>
      </c>
      <c r="D783" s="24">
        <f>8000000-131390</f>
        <v>7868610</v>
      </c>
      <c r="E783" s="527">
        <v>0</v>
      </c>
      <c r="F783" s="532"/>
      <c r="G783" s="120">
        <f t="shared" si="228"/>
        <v>0</v>
      </c>
      <c r="H783" s="121">
        <f t="shared" si="226"/>
        <v>0</v>
      </c>
      <c r="I783" s="121">
        <f t="shared" si="229"/>
        <v>0</v>
      </c>
      <c r="J783" s="574">
        <v>7703693</v>
      </c>
      <c r="K783" s="21"/>
    </row>
    <row r="784" spans="1:246" s="27" customFormat="1" ht="12.75" customHeight="1" x14ac:dyDescent="0.2">
      <c r="A784" s="30">
        <v>3639</v>
      </c>
      <c r="B784" s="29" t="s">
        <v>14</v>
      </c>
      <c r="C784" s="24">
        <f xml:space="preserve"> C785</f>
        <v>150000</v>
      </c>
      <c r="D784" s="24">
        <f xml:space="preserve"> D785</f>
        <v>283612</v>
      </c>
      <c r="E784" s="527">
        <v>158263</v>
      </c>
      <c r="F784" s="532"/>
      <c r="G784" s="120">
        <f t="shared" si="228"/>
        <v>105.50866666666667</v>
      </c>
      <c r="H784" s="121">
        <f t="shared" si="226"/>
        <v>55.802645868298939</v>
      </c>
      <c r="I784" s="121">
        <f t="shared" si="229"/>
        <v>545.4335539012958</v>
      </c>
      <c r="J784" s="574">
        <v>29016</v>
      </c>
    </row>
    <row r="785" spans="1:11" s="27" customFormat="1" ht="12.75" customHeight="1" x14ac:dyDescent="0.2">
      <c r="A785" s="20"/>
      <c r="B785" s="28" t="s">
        <v>13</v>
      </c>
      <c r="C785" s="9">
        <v>150000</v>
      </c>
      <c r="D785" s="9">
        <f>150000+133612</f>
        <v>283612</v>
      </c>
      <c r="E785" s="528">
        <v>158263</v>
      </c>
      <c r="F785" s="532"/>
      <c r="G785" s="126">
        <f t="shared" si="228"/>
        <v>105.50866666666667</v>
      </c>
      <c r="H785" s="130">
        <f t="shared" si="226"/>
        <v>55.802645868298939</v>
      </c>
      <c r="I785" s="130">
        <f t="shared" si="229"/>
        <v>545.4335539012958</v>
      </c>
      <c r="J785" s="568">
        <v>29016</v>
      </c>
    </row>
    <row r="786" spans="1:11" x14ac:dyDescent="0.2">
      <c r="A786" s="20">
        <v>6171</v>
      </c>
      <c r="B786" s="26" t="s">
        <v>12</v>
      </c>
      <c r="C786" s="24">
        <v>150000</v>
      </c>
      <c r="D786" s="24">
        <v>150000</v>
      </c>
      <c r="E786" s="527">
        <v>9921</v>
      </c>
      <c r="F786" s="532"/>
      <c r="G786" s="120">
        <f t="shared" si="228"/>
        <v>6.6140000000000008</v>
      </c>
      <c r="H786" s="121">
        <f t="shared" si="226"/>
        <v>6.6140000000000008</v>
      </c>
      <c r="I786" s="121">
        <f t="shared" si="229"/>
        <v>267.48449716904827</v>
      </c>
      <c r="J786" s="568">
        <v>3709</v>
      </c>
    </row>
    <row r="787" spans="1:11" x14ac:dyDescent="0.2">
      <c r="A787" s="20">
        <v>6310</v>
      </c>
      <c r="B787" s="19" t="s">
        <v>11</v>
      </c>
      <c r="C787" s="24">
        <v>320000</v>
      </c>
      <c r="D787" s="24">
        <v>320000</v>
      </c>
      <c r="E787" s="527">
        <v>197950.65</v>
      </c>
      <c r="F787" s="532"/>
      <c r="G787" s="120">
        <f t="shared" si="228"/>
        <v>61.859578125000006</v>
      </c>
      <c r="H787" s="121">
        <f t="shared" si="226"/>
        <v>61.859578125000006</v>
      </c>
      <c r="I787" s="121">
        <f t="shared" si="229"/>
        <v>110.47469080303311</v>
      </c>
      <c r="J787" s="568">
        <v>179181.9</v>
      </c>
    </row>
    <row r="788" spans="1:11" x14ac:dyDescent="0.2">
      <c r="A788" s="20">
        <v>6399</v>
      </c>
      <c r="B788" s="19" t="s">
        <v>10</v>
      </c>
      <c r="C788" s="18">
        <f>SUM(C789:C790)</f>
        <v>26000000</v>
      </c>
      <c r="D788" s="18">
        <f>SUM(D789:D790)</f>
        <v>24037550</v>
      </c>
      <c r="E788" s="527">
        <v>23802687</v>
      </c>
      <c r="F788" s="528">
        <f>SUM(E789:E790)</f>
        <v>23802497</v>
      </c>
      <c r="G788" s="120">
        <f t="shared" si="228"/>
        <v>91.548796153846155</v>
      </c>
      <c r="H788" s="121">
        <f t="shared" si="226"/>
        <v>99.022932869614408</v>
      </c>
      <c r="I788" s="121">
        <f t="shared" si="229"/>
        <v>102.52575561135926</v>
      </c>
      <c r="J788" s="568">
        <v>23216300</v>
      </c>
    </row>
    <row r="789" spans="1:11" x14ac:dyDescent="0.2">
      <c r="A789" s="16"/>
      <c r="B789" s="15" t="s">
        <v>9</v>
      </c>
      <c r="C789" s="10">
        <v>23000000</v>
      </c>
      <c r="D789" s="10">
        <f>23000000-1962450</f>
        <v>21037550</v>
      </c>
      <c r="E789" s="528">
        <v>21037560</v>
      </c>
      <c r="F789" s="532"/>
      <c r="G789" s="126">
        <f t="shared" si="228"/>
        <v>91.467652173913038</v>
      </c>
      <c r="H789" s="130">
        <f t="shared" si="226"/>
        <v>100.0000475340522</v>
      </c>
      <c r="I789" s="130">
        <f t="shared" si="229"/>
        <v>91.404583011635012</v>
      </c>
      <c r="J789" s="568">
        <v>23015870</v>
      </c>
    </row>
    <row r="790" spans="1:11" x14ac:dyDescent="0.2">
      <c r="A790" s="16"/>
      <c r="B790" s="15" t="s">
        <v>8</v>
      </c>
      <c r="C790" s="9">
        <v>3000000</v>
      </c>
      <c r="D790" s="9">
        <v>3000000</v>
      </c>
      <c r="E790" s="528">
        <v>2764937</v>
      </c>
      <c r="F790" s="532"/>
      <c r="G790" s="126">
        <f t="shared" si="228"/>
        <v>92.164566666666673</v>
      </c>
      <c r="H790" s="130">
        <f t="shared" si="226"/>
        <v>92.164566666666673</v>
      </c>
      <c r="I790" s="130">
        <f t="shared" si="229"/>
        <v>230.32888215056272</v>
      </c>
      <c r="J790" s="568">
        <v>1200430</v>
      </c>
    </row>
    <row r="791" spans="1:11" s="3" customFormat="1" ht="12.75" customHeight="1" x14ac:dyDescent="0.3">
      <c r="A791" s="20">
        <v>6402</v>
      </c>
      <c r="B791" s="19" t="s">
        <v>7</v>
      </c>
      <c r="C791" s="18">
        <f>SUM(C792:C794)</f>
        <v>0</v>
      </c>
      <c r="D791" s="18">
        <f>SUM(D792:D794)</f>
        <v>36799.64</v>
      </c>
      <c r="E791" s="527">
        <v>36799.64</v>
      </c>
      <c r="F791" s="528">
        <f>SUM(E792:E794)</f>
        <v>36799.64</v>
      </c>
      <c r="G791" s="120">
        <v>0</v>
      </c>
      <c r="H791" s="121">
        <f t="shared" si="226"/>
        <v>100</v>
      </c>
      <c r="I791" s="121">
        <f t="shared" si="229"/>
        <v>60.732914822243913</v>
      </c>
      <c r="J791" s="568">
        <v>60592.58</v>
      </c>
      <c r="K791" s="21"/>
    </row>
    <row r="792" spans="1:11" s="2" customFormat="1" ht="12.75" customHeight="1" x14ac:dyDescent="0.3">
      <c r="A792" s="23"/>
      <c r="B792" s="278" t="s">
        <v>923</v>
      </c>
      <c r="C792" s="9">
        <v>0</v>
      </c>
      <c r="D792" s="9">
        <f>(14375.24+2536.76)</f>
        <v>16912</v>
      </c>
      <c r="E792" s="528">
        <v>16912</v>
      </c>
      <c r="F792" s="532"/>
      <c r="G792" s="126">
        <v>0</v>
      </c>
      <c r="H792" s="130">
        <f t="shared" si="226"/>
        <v>100</v>
      </c>
      <c r="I792" s="130">
        <f t="shared" ref="I792:I795" si="230">E792/J792*100</f>
        <v>301.62297128589262</v>
      </c>
      <c r="J792" s="568">
        <v>5607</v>
      </c>
      <c r="K792" s="21"/>
    </row>
    <row r="793" spans="1:11" s="2" customFormat="1" ht="12.75" customHeight="1" x14ac:dyDescent="0.3">
      <c r="A793" s="23"/>
      <c r="B793" s="22" t="s">
        <v>881</v>
      </c>
      <c r="C793" s="9">
        <v>0</v>
      </c>
      <c r="D793" s="9">
        <v>5719</v>
      </c>
      <c r="E793" s="528">
        <v>5719</v>
      </c>
      <c r="F793" s="532"/>
      <c r="G793" s="126">
        <v>0</v>
      </c>
      <c r="H793" s="130">
        <f t="shared" ref="H793" si="231">E793/D793*100</f>
        <v>100</v>
      </c>
      <c r="I793" s="130">
        <f t="shared" ref="I793" si="232">E793/J793*100</f>
        <v>39.380055059087297</v>
      </c>
      <c r="J793" s="568">
        <v>14522.58</v>
      </c>
      <c r="K793" s="21"/>
    </row>
    <row r="794" spans="1:11" s="2" customFormat="1" ht="12.75" customHeight="1" x14ac:dyDescent="0.3">
      <c r="A794" s="23"/>
      <c r="B794" s="22" t="s">
        <v>895</v>
      </c>
      <c r="C794" s="9">
        <v>0</v>
      </c>
      <c r="D794" s="9">
        <v>14168.64</v>
      </c>
      <c r="E794" s="528">
        <v>14168.64</v>
      </c>
      <c r="F794" s="532"/>
      <c r="G794" s="126">
        <v>0</v>
      </c>
      <c r="H794" s="130">
        <f t="shared" si="226"/>
        <v>100</v>
      </c>
      <c r="I794" s="130">
        <f t="shared" si="230"/>
        <v>97.562829745127928</v>
      </c>
      <c r="J794" s="568">
        <v>14522.58</v>
      </c>
      <c r="K794" s="21"/>
    </row>
    <row r="795" spans="1:11" s="17" customFormat="1" ht="15.75" x14ac:dyDescent="0.25">
      <c r="A795" s="20">
        <v>6409</v>
      </c>
      <c r="B795" s="19" t="s">
        <v>3</v>
      </c>
      <c r="C795" s="18">
        <f>SUM(C796:C798)</f>
        <v>1305000</v>
      </c>
      <c r="D795" s="18">
        <f>SUM(D796:D798)</f>
        <v>17739714.16</v>
      </c>
      <c r="E795" s="715">
        <v>212870.52</v>
      </c>
      <c r="F795" s="206">
        <f>SUM(E796:E798)</f>
        <v>212870.52</v>
      </c>
      <c r="G795" s="120">
        <f t="shared" si="228"/>
        <v>16.311917241379309</v>
      </c>
      <c r="H795" s="121">
        <f t="shared" si="226"/>
        <v>1.1999658961810464</v>
      </c>
      <c r="I795" s="715">
        <f t="shared" si="230"/>
        <v>97.376223352432817</v>
      </c>
      <c r="J795" s="568">
        <v>218606.26</v>
      </c>
    </row>
    <row r="796" spans="1:11" s="3" customFormat="1" x14ac:dyDescent="0.2">
      <c r="A796" s="16"/>
      <c r="B796" s="15" t="s">
        <v>2</v>
      </c>
      <c r="C796" s="9">
        <v>1000000</v>
      </c>
      <c r="D796" s="9">
        <f>1000000+1037625.27+800-5719+2888353.24-133544.53+240528.48-263145.58+51405.97-133612-74168.64+2168620-500000-79385-267145-213939-2000000+(-100000-100000)+(-50000-50000)+1380+84689.93+1267+150000-500000+(2000000+1000000+300000)+8000000+1026933.11+167860+1785909.91</f>
        <v>17434714.16</v>
      </c>
      <c r="E796" s="528">
        <v>0</v>
      </c>
      <c r="F796" s="532"/>
      <c r="G796" s="126">
        <f t="shared" si="228"/>
        <v>0</v>
      </c>
      <c r="H796" s="130">
        <f t="shared" si="226"/>
        <v>0</v>
      </c>
      <c r="I796" s="130">
        <v>0</v>
      </c>
      <c r="J796" s="568">
        <v>0</v>
      </c>
    </row>
    <row r="797" spans="1:11" s="3" customFormat="1" ht="36.75" x14ac:dyDescent="0.2">
      <c r="A797" s="724"/>
      <c r="B797" s="725" t="s">
        <v>1</v>
      </c>
      <c r="C797" s="46">
        <f>(5+80+50+80+30+5+60)*1000-5000</f>
        <v>305000</v>
      </c>
      <c r="D797" s="46">
        <f>(5+80+50+80+30+5+60)*1000-5000</f>
        <v>305000</v>
      </c>
      <c r="E797" s="151">
        <v>213251.52</v>
      </c>
      <c r="F797" s="668"/>
      <c r="G797" s="151">
        <f t="shared" si="228"/>
        <v>69.918531147540989</v>
      </c>
      <c r="H797" s="117">
        <f t="shared" si="226"/>
        <v>69.918531147540989</v>
      </c>
      <c r="I797" s="117">
        <f t="shared" ref="I797" si="233">E797/J797*100</f>
        <v>97.550509303804915</v>
      </c>
      <c r="J797" s="574">
        <v>218606.26</v>
      </c>
    </row>
    <row r="798" spans="1:11" s="3" customFormat="1" x14ac:dyDescent="0.2">
      <c r="A798" s="16"/>
      <c r="B798" s="726" t="s">
        <v>972</v>
      </c>
      <c r="C798" s="10">
        <v>0</v>
      </c>
      <c r="D798" s="10">
        <v>0</v>
      </c>
      <c r="E798" s="206">
        <v>-381</v>
      </c>
      <c r="F798" s="496"/>
      <c r="G798" s="130">
        <v>0</v>
      </c>
      <c r="H798" s="130">
        <v>0</v>
      </c>
      <c r="I798" s="130">
        <v>0</v>
      </c>
      <c r="J798" s="574">
        <v>0</v>
      </c>
    </row>
    <row r="799" spans="1:11" s="3" customFormat="1" ht="13.5" thickBot="1" x14ac:dyDescent="0.25">
      <c r="A799" s="722"/>
      <c r="B799" s="723"/>
      <c r="C799" s="46"/>
      <c r="D799" s="46"/>
      <c r="E799" s="668"/>
      <c r="F799" s="668"/>
      <c r="G799" s="151"/>
      <c r="H799" s="151"/>
      <c r="I799" s="151"/>
      <c r="J799" s="574"/>
    </row>
    <row r="800" spans="1:11" s="3" customFormat="1" ht="24" thickBot="1" x14ac:dyDescent="0.4">
      <c r="A800" s="8"/>
      <c r="B800" s="7" t="s">
        <v>0</v>
      </c>
      <c r="C800" s="557">
        <f>SUM(C261+C322+C414+C419+C425+C434+C438+C441+C528+C532+C549+C559+C596+C602+C628+C768+C779)</f>
        <v>902306516.75</v>
      </c>
      <c r="D800" s="557">
        <f>SUM(D261+D322+D414+D419+D425+D434+D438+D441+D528+D532+D549+D559+D596+D602+D628+D768+D779)</f>
        <v>911313360.41999984</v>
      </c>
      <c r="E800" s="727">
        <v>275166958.56</v>
      </c>
      <c r="F800" s="733">
        <f>SUM(E261,E322,E414,E419,E425,E434,E438,E441,E528,E532,E549,E559,E596,E602,E628,E768,E779)</f>
        <v>275166958.56</v>
      </c>
      <c r="G800" s="181">
        <f>E800/C800*100</f>
        <v>30.49595159205083</v>
      </c>
      <c r="H800" s="181">
        <f>E800/D800*100</f>
        <v>30.194548934647784</v>
      </c>
      <c r="I800" s="181">
        <f t="shared" ref="I800" si="234">E800/J800*100</f>
        <v>96.344134545721943</v>
      </c>
      <c r="J800" s="568">
        <v>285608418.05000001</v>
      </c>
    </row>
    <row r="801" spans="1:10" x14ac:dyDescent="0.2">
      <c r="B801" s="5"/>
    </row>
    <row r="802" spans="1:10" x14ac:dyDescent="0.2">
      <c r="B802" s="4"/>
    </row>
    <row r="803" spans="1:10" s="3" customFormat="1" x14ac:dyDescent="0.2">
      <c r="A803" s="1"/>
      <c r="B803" s="1"/>
      <c r="C803" s="1"/>
      <c r="D803" s="1"/>
      <c r="E803" s="1"/>
      <c r="F803" s="2"/>
      <c r="G803" s="1"/>
      <c r="H803" s="1"/>
      <c r="I803" s="1"/>
      <c r="J803" s="1"/>
    </row>
    <row r="804" spans="1:10" s="3" customFormat="1" x14ac:dyDescent="0.2">
      <c r="A804" s="1"/>
      <c r="B804" s="1"/>
      <c r="C804" s="568">
        <f>C9-C800</f>
        <v>3.4999847412109375E-3</v>
      </c>
      <c r="D804" s="568">
        <f>D9-D800</f>
        <v>3.5001039505004883E-3</v>
      </c>
      <c r="E804" s="568">
        <f>E9-E800</f>
        <v>0</v>
      </c>
      <c r="F804" s="568">
        <f>F9-F800</f>
        <v>0</v>
      </c>
      <c r="G804" s="1"/>
      <c r="H804" s="1"/>
      <c r="I804" s="1"/>
      <c r="J804" s="1"/>
    </row>
  </sheetData>
  <mergeCells count="1">
    <mergeCell ref="L258:M258"/>
  </mergeCells>
  <printOptions horizontalCentered="1"/>
  <pageMargins left="0" right="0" top="0.59055118110236227" bottom="0.39370078740157483" header="0" footer="0"/>
  <pageSetup paperSize="9" scale="70" fitToHeight="0" orientation="landscape" r:id="rId1"/>
  <headerFooter alignWithMargins="0">
    <oddFooter>&amp;C&amp;P</oddFooter>
  </headerFooter>
  <rowBreaks count="2" manualBreakCount="2">
    <brk id="50" max="6" man="1"/>
    <brk id="258"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9.9978637043366805E-2"/>
    <pageSetUpPr fitToPage="1"/>
  </sheetPr>
  <dimension ref="A1:ABG813"/>
  <sheetViews>
    <sheetView topLeftCell="A9" zoomScaleNormal="100" zoomScaleSheetLayoutView="80" workbookViewId="0">
      <pane ySplit="735" topLeftCell="A67" activePane="bottomLeft"/>
      <selection activeCell="K1" sqref="K1:K1048576"/>
      <selection pane="bottomLeft" activeCell="C595" sqref="C595:D596"/>
    </sheetView>
  </sheetViews>
  <sheetFormatPr defaultRowHeight="12.75" x14ac:dyDescent="0.2"/>
  <cols>
    <col min="1" max="1" width="12.28515625" style="1" customWidth="1"/>
    <col min="2" max="2" width="92.7109375" style="1" customWidth="1"/>
    <col min="3" max="4" width="23.140625" style="1" bestFit="1" customWidth="1"/>
    <col min="5" max="5" width="24" style="1" customWidth="1"/>
    <col min="6" max="6" width="18.7109375" style="2" hidden="1" customWidth="1"/>
    <col min="7" max="8" width="10.5703125" style="1" customWidth="1"/>
    <col min="9" max="9" width="12.140625" style="1" customWidth="1"/>
    <col min="10" max="10" width="15.7109375" style="1" customWidth="1"/>
    <col min="11" max="16384" width="9.140625" style="1"/>
  </cols>
  <sheetData>
    <row r="1" spans="1:10" s="375" customFormat="1" ht="50.1" customHeight="1" thickBot="1" x14ac:dyDescent="0.25">
      <c r="A1" s="469" t="s">
        <v>786</v>
      </c>
      <c r="B1" s="470" t="s">
        <v>783</v>
      </c>
      <c r="C1" s="471" t="s">
        <v>780</v>
      </c>
      <c r="D1" s="471" t="s">
        <v>794</v>
      </c>
      <c r="E1" s="471" t="s">
        <v>781</v>
      </c>
      <c r="F1" s="472" t="s">
        <v>776</v>
      </c>
      <c r="G1" s="473" t="s">
        <v>777</v>
      </c>
      <c r="H1" s="473" t="s">
        <v>778</v>
      </c>
      <c r="I1" s="474" t="s">
        <v>782</v>
      </c>
      <c r="J1" s="465" t="s">
        <v>779</v>
      </c>
    </row>
    <row r="2" spans="1:10" s="394" customFormat="1" ht="27" customHeight="1" x14ac:dyDescent="0.25">
      <c r="A2" s="447"/>
      <c r="B2" s="455" t="s">
        <v>775</v>
      </c>
      <c r="C2" s="466"/>
      <c r="D2" s="466"/>
      <c r="E2" s="468"/>
      <c r="F2" s="467"/>
      <c r="G2" s="466"/>
      <c r="H2" s="466"/>
      <c r="I2" s="466"/>
      <c r="J2" s="465"/>
    </row>
    <row r="3" spans="1:10" s="396" customFormat="1" ht="27" customHeight="1" x14ac:dyDescent="0.2">
      <c r="A3" s="464"/>
      <c r="B3" s="417" t="s">
        <v>774</v>
      </c>
      <c r="C3" s="440">
        <f>C52</f>
        <v>388416000</v>
      </c>
      <c r="D3" s="440">
        <f>D52</f>
        <v>380523830</v>
      </c>
      <c r="E3" s="440"/>
      <c r="F3" s="440"/>
      <c r="G3" s="440"/>
      <c r="H3" s="440"/>
      <c r="I3" s="440"/>
      <c r="J3" s="410"/>
    </row>
    <row r="4" spans="1:10" s="396" customFormat="1" ht="27" customHeight="1" x14ac:dyDescent="0.2">
      <c r="A4" s="463"/>
      <c r="B4" s="417" t="s">
        <v>707</v>
      </c>
      <c r="C4" s="421">
        <f>C86</f>
        <v>127407541.26000001</v>
      </c>
      <c r="D4" s="421">
        <f>D86</f>
        <v>129890008.34000002</v>
      </c>
      <c r="E4" s="421"/>
      <c r="F4" s="421"/>
      <c r="G4" s="421"/>
      <c r="H4" s="421"/>
      <c r="I4" s="421"/>
      <c r="J4" s="410"/>
    </row>
    <row r="5" spans="1:10" s="396" customFormat="1" ht="27" customHeight="1" x14ac:dyDescent="0.2">
      <c r="A5" s="417"/>
      <c r="B5" s="417" t="s">
        <v>627</v>
      </c>
      <c r="C5" s="421">
        <f>C177</f>
        <v>109511899.31</v>
      </c>
      <c r="D5" s="421">
        <f>D177</f>
        <v>109458329.31</v>
      </c>
      <c r="E5" s="421"/>
      <c r="F5" s="421"/>
      <c r="G5" s="421"/>
      <c r="H5" s="421"/>
      <c r="I5" s="421"/>
      <c r="J5" s="410"/>
    </row>
    <row r="6" spans="1:10" s="396" customFormat="1" ht="27" customHeight="1" x14ac:dyDescent="0.2">
      <c r="A6" s="417"/>
      <c r="B6" s="417" t="s">
        <v>773</v>
      </c>
      <c r="C6" s="421">
        <f>C199</f>
        <v>81229895.713500008</v>
      </c>
      <c r="D6" s="421">
        <f>D199</f>
        <v>101109302.39350002</v>
      </c>
      <c r="E6" s="421"/>
      <c r="F6" s="421"/>
      <c r="G6" s="421"/>
      <c r="H6" s="421"/>
      <c r="I6" s="421"/>
      <c r="J6" s="410"/>
    </row>
    <row r="7" spans="1:10" s="394" customFormat="1" ht="27" customHeight="1" x14ac:dyDescent="0.25">
      <c r="A7" s="462"/>
      <c r="B7" s="461" t="s">
        <v>572</v>
      </c>
      <c r="C7" s="460">
        <f>C254</f>
        <v>706565336.28349996</v>
      </c>
      <c r="D7" s="460">
        <f>D254</f>
        <v>720981470.04350007</v>
      </c>
      <c r="E7" s="460"/>
      <c r="F7" s="460"/>
      <c r="G7" s="460"/>
      <c r="H7" s="460"/>
      <c r="I7" s="460"/>
      <c r="J7" s="452"/>
    </row>
    <row r="8" spans="1:10" s="396" customFormat="1" ht="27" customHeight="1" thickBot="1" x14ac:dyDescent="0.25">
      <c r="A8" s="459"/>
      <c r="B8" s="459" t="s">
        <v>571</v>
      </c>
      <c r="C8" s="419">
        <f>C256</f>
        <v>195741180.47</v>
      </c>
      <c r="D8" s="419">
        <f>D256</f>
        <v>188545980.47</v>
      </c>
      <c r="E8" s="419"/>
      <c r="F8" s="419"/>
      <c r="G8" s="419"/>
      <c r="H8" s="419"/>
      <c r="I8" s="419"/>
      <c r="J8" s="448"/>
    </row>
    <row r="9" spans="1:10" s="456" customFormat="1" ht="24" thickBot="1" x14ac:dyDescent="0.4">
      <c r="A9" s="458"/>
      <c r="B9" s="324" t="s">
        <v>563</v>
      </c>
      <c r="C9" s="457">
        <f>C265</f>
        <v>902306516.75349998</v>
      </c>
      <c r="D9" s="457">
        <f>D265</f>
        <v>909527450.51350009</v>
      </c>
      <c r="E9" s="457"/>
      <c r="F9" s="457"/>
      <c r="G9" s="457"/>
      <c r="H9" s="457"/>
      <c r="I9" s="457"/>
      <c r="J9" s="580"/>
    </row>
    <row r="10" spans="1:10" s="394" customFormat="1" ht="27" customHeight="1" x14ac:dyDescent="0.25">
      <c r="A10" s="447"/>
      <c r="B10" s="455" t="s">
        <v>772</v>
      </c>
      <c r="C10" s="453"/>
      <c r="D10" s="453"/>
      <c r="E10" s="445"/>
      <c r="F10" s="454"/>
      <c r="G10" s="475"/>
      <c r="H10" s="475"/>
      <c r="I10" s="475"/>
      <c r="J10" s="452"/>
    </row>
    <row r="11" spans="1:10" s="394" customFormat="1" ht="27" customHeight="1" x14ac:dyDescent="0.25">
      <c r="A11" s="447"/>
      <c r="B11" s="451" t="s">
        <v>771</v>
      </c>
      <c r="C11" s="450">
        <f>C49-C12</f>
        <v>640650917.12</v>
      </c>
      <c r="D11" s="450">
        <f>D49-D12</f>
        <v>647871850.87999988</v>
      </c>
      <c r="E11" s="476"/>
      <c r="F11" s="477"/>
      <c r="G11" s="478"/>
      <c r="H11" s="478"/>
      <c r="I11" s="478"/>
      <c r="J11" s="448"/>
    </row>
    <row r="12" spans="1:10" s="394" customFormat="1" ht="27" customHeight="1" x14ac:dyDescent="0.25">
      <c r="A12" s="447"/>
      <c r="B12" s="451" t="s">
        <v>770</v>
      </c>
      <c r="C12" s="449">
        <v>261655599.63</v>
      </c>
      <c r="D12" s="449">
        <v>261655599.63</v>
      </c>
      <c r="E12" s="476"/>
      <c r="F12" s="476"/>
      <c r="G12" s="478"/>
      <c r="H12" s="478"/>
      <c r="I12" s="478"/>
      <c r="J12" s="448"/>
    </row>
    <row r="13" spans="1:10" s="394" customFormat="1" ht="27" customHeight="1" x14ac:dyDescent="0.25">
      <c r="A13" s="447"/>
      <c r="B13" s="446" t="s">
        <v>769</v>
      </c>
      <c r="C13" s="443"/>
      <c r="D13" s="443"/>
      <c r="E13" s="443"/>
      <c r="F13" s="444"/>
      <c r="G13" s="443"/>
      <c r="H13" s="443"/>
      <c r="I13" s="443"/>
    </row>
    <row r="14" spans="1:10" s="394" customFormat="1" ht="27" customHeight="1" x14ac:dyDescent="0.25">
      <c r="A14" s="442"/>
      <c r="B14" s="441" t="s">
        <v>768</v>
      </c>
      <c r="C14" s="438">
        <f>C268</f>
        <v>47057788.329999998</v>
      </c>
      <c r="D14" s="438">
        <f>D268</f>
        <v>48392506.829999998</v>
      </c>
      <c r="E14" s="438"/>
      <c r="F14" s="438"/>
      <c r="G14" s="438"/>
      <c r="H14" s="438"/>
      <c r="I14" s="438"/>
    </row>
    <row r="15" spans="1:10" s="396" customFormat="1" ht="27" customHeight="1" x14ac:dyDescent="0.25">
      <c r="A15" s="427"/>
      <c r="B15" s="437" t="s">
        <v>767</v>
      </c>
      <c r="C15" s="421">
        <f>C269</f>
        <v>1985000</v>
      </c>
      <c r="D15" s="421">
        <f>D269</f>
        <v>1985000</v>
      </c>
      <c r="E15" s="421"/>
      <c r="F15" s="421"/>
      <c r="G15" s="421"/>
      <c r="H15" s="421"/>
      <c r="I15" s="421"/>
      <c r="J15" s="410"/>
    </row>
    <row r="16" spans="1:10" s="396" customFormat="1" ht="27" customHeight="1" x14ac:dyDescent="0.2">
      <c r="A16" s="417"/>
      <c r="B16" s="414" t="s">
        <v>766</v>
      </c>
      <c r="C16" s="421">
        <f>C282</f>
        <v>27050000</v>
      </c>
      <c r="D16" s="421">
        <f>D282</f>
        <v>28337618.5</v>
      </c>
      <c r="E16" s="421"/>
      <c r="F16" s="421"/>
      <c r="G16" s="421"/>
      <c r="H16" s="421"/>
      <c r="I16" s="421"/>
      <c r="J16" s="410"/>
    </row>
    <row r="17" spans="1:81" s="396" customFormat="1" ht="27" customHeight="1" x14ac:dyDescent="0.2">
      <c r="A17" s="414"/>
      <c r="B17" s="414" t="s">
        <v>765</v>
      </c>
      <c r="C17" s="440">
        <f>C298</f>
        <v>2334000</v>
      </c>
      <c r="D17" s="440">
        <f>D298</f>
        <v>2334000</v>
      </c>
      <c r="E17" s="440"/>
      <c r="F17" s="440"/>
      <c r="G17" s="440"/>
      <c r="H17" s="440"/>
      <c r="I17" s="440"/>
      <c r="J17" s="410"/>
    </row>
    <row r="18" spans="1:81" s="396" customFormat="1" ht="27" customHeight="1" thickBot="1" x14ac:dyDescent="0.25">
      <c r="A18" s="420"/>
      <c r="B18" s="420" t="s">
        <v>764</v>
      </c>
      <c r="C18" s="419">
        <f>C304</f>
        <v>15688788.33</v>
      </c>
      <c r="D18" s="419">
        <f>D304</f>
        <v>15735888.33</v>
      </c>
      <c r="E18" s="419"/>
      <c r="F18" s="419"/>
      <c r="G18" s="419"/>
      <c r="H18" s="419"/>
      <c r="I18" s="419"/>
      <c r="J18" s="410"/>
    </row>
    <row r="19" spans="1:81" s="396" customFormat="1" ht="27" customHeight="1" x14ac:dyDescent="0.25">
      <c r="A19" s="414"/>
      <c r="B19" s="439" t="s">
        <v>763</v>
      </c>
      <c r="C19" s="438">
        <f>C329</f>
        <v>114484000</v>
      </c>
      <c r="D19" s="438">
        <f>D329</f>
        <v>98053500</v>
      </c>
      <c r="E19" s="438"/>
      <c r="F19" s="438"/>
      <c r="G19" s="438"/>
      <c r="H19" s="438"/>
      <c r="I19" s="438"/>
      <c r="J19" s="394"/>
    </row>
    <row r="20" spans="1:81" s="396" customFormat="1" ht="27" customHeight="1" x14ac:dyDescent="0.2">
      <c r="A20" s="417"/>
      <c r="B20" s="437" t="s">
        <v>762</v>
      </c>
      <c r="C20" s="421">
        <f>C330</f>
        <v>5530000</v>
      </c>
      <c r="D20" s="421">
        <f>D330</f>
        <v>5530000</v>
      </c>
      <c r="E20" s="421"/>
      <c r="F20" s="421"/>
      <c r="G20" s="421"/>
      <c r="H20" s="421"/>
      <c r="I20" s="421"/>
      <c r="J20" s="410"/>
    </row>
    <row r="21" spans="1:81" s="396" customFormat="1" ht="27" customHeight="1" x14ac:dyDescent="0.2">
      <c r="A21" s="417"/>
      <c r="B21" s="414" t="s">
        <v>761</v>
      </c>
      <c r="C21" s="421">
        <f>C340</f>
        <v>38460500</v>
      </c>
      <c r="D21" s="421">
        <f>D340</f>
        <v>38030000</v>
      </c>
      <c r="E21" s="421"/>
      <c r="F21" s="421"/>
      <c r="G21" s="421"/>
      <c r="H21" s="421"/>
      <c r="I21" s="421"/>
      <c r="J21" s="410"/>
    </row>
    <row r="22" spans="1:81" s="396" customFormat="1" ht="27" customHeight="1" x14ac:dyDescent="0.2">
      <c r="A22" s="417"/>
      <c r="B22" s="414" t="s">
        <v>760</v>
      </c>
      <c r="C22" s="421">
        <f>C388</f>
        <v>6295000</v>
      </c>
      <c r="D22" s="421">
        <f>D388</f>
        <v>5595000</v>
      </c>
      <c r="E22" s="421"/>
      <c r="F22" s="421"/>
      <c r="G22" s="421"/>
      <c r="H22" s="421"/>
      <c r="I22" s="421"/>
      <c r="J22" s="410"/>
    </row>
    <row r="23" spans="1:81" s="396" customFormat="1" ht="27" customHeight="1" x14ac:dyDescent="0.2">
      <c r="A23" s="417"/>
      <c r="B23" s="417" t="s">
        <v>759</v>
      </c>
      <c r="C23" s="421">
        <f>C398</f>
        <v>63726000</v>
      </c>
      <c r="D23" s="421">
        <f>D398</f>
        <v>48726000</v>
      </c>
      <c r="E23" s="421"/>
      <c r="F23" s="421"/>
      <c r="G23" s="421"/>
      <c r="H23" s="421"/>
      <c r="I23" s="421"/>
      <c r="J23" s="410"/>
    </row>
    <row r="24" spans="1:81" s="396" customFormat="1" ht="27" customHeight="1" thickBot="1" x14ac:dyDescent="0.25">
      <c r="A24" s="399"/>
      <c r="B24" s="402" t="s">
        <v>758</v>
      </c>
      <c r="C24" s="400">
        <f>C416</f>
        <v>472500</v>
      </c>
      <c r="D24" s="400">
        <f>D416</f>
        <v>172500</v>
      </c>
      <c r="E24" s="400"/>
      <c r="F24" s="400"/>
      <c r="G24" s="400"/>
      <c r="H24" s="400"/>
      <c r="I24" s="400"/>
      <c r="J24" s="410"/>
    </row>
    <row r="25" spans="1:81" s="396" customFormat="1" ht="27" customHeight="1" thickBot="1" x14ac:dyDescent="0.35">
      <c r="A25" s="425"/>
      <c r="B25" s="408" t="s">
        <v>338</v>
      </c>
      <c r="C25" s="407">
        <f>C421</f>
        <v>3640000</v>
      </c>
      <c r="D25" s="407">
        <f>D421</f>
        <v>2714871</v>
      </c>
      <c r="E25" s="407"/>
      <c r="F25" s="407"/>
      <c r="G25" s="407"/>
      <c r="H25" s="407"/>
      <c r="I25" s="407"/>
    </row>
    <row r="26" spans="1:81" s="434" customFormat="1" ht="27" customHeight="1" thickBot="1" x14ac:dyDescent="0.35">
      <c r="A26" s="420"/>
      <c r="B26" s="436" t="s">
        <v>757</v>
      </c>
      <c r="C26" s="435">
        <f>C426</f>
        <v>10752956</v>
      </c>
      <c r="D26" s="435">
        <f>D426</f>
        <v>10852956</v>
      </c>
      <c r="E26" s="435"/>
      <c r="F26" s="435"/>
      <c r="G26" s="435"/>
      <c r="H26" s="435"/>
      <c r="I26" s="435"/>
      <c r="J26" s="396"/>
    </row>
    <row r="27" spans="1:81" s="396" customFormat="1" ht="27" customHeight="1" thickBot="1" x14ac:dyDescent="0.35">
      <c r="A27" s="425"/>
      <c r="B27" s="408" t="s">
        <v>329</v>
      </c>
      <c r="C27" s="407">
        <f>C432</f>
        <v>7038417</v>
      </c>
      <c r="D27" s="407">
        <f>D432</f>
        <v>6888417</v>
      </c>
      <c r="E27" s="407"/>
      <c r="F27" s="407"/>
      <c r="G27" s="407"/>
      <c r="H27" s="407"/>
      <c r="I27" s="407"/>
    </row>
    <row r="28" spans="1:81" s="396" customFormat="1" ht="27" customHeight="1" thickBot="1" x14ac:dyDescent="0.35">
      <c r="A28" s="399"/>
      <c r="B28" s="433" t="s">
        <v>321</v>
      </c>
      <c r="C28" s="432">
        <f>C441</f>
        <v>112000</v>
      </c>
      <c r="D28" s="432">
        <f>D441</f>
        <v>112000</v>
      </c>
      <c r="E28" s="432"/>
      <c r="F28" s="432"/>
      <c r="G28" s="432"/>
      <c r="H28" s="432"/>
      <c r="I28" s="432"/>
      <c r="J28" s="410"/>
    </row>
    <row r="29" spans="1:81" s="429" customFormat="1" ht="27" customHeight="1" thickBot="1" x14ac:dyDescent="0.3">
      <c r="A29" s="44"/>
      <c r="B29" s="431" t="s">
        <v>756</v>
      </c>
      <c r="C29" s="430">
        <f>C445</f>
        <v>500000</v>
      </c>
      <c r="D29" s="430">
        <f>D445</f>
        <v>500000</v>
      </c>
      <c r="E29" s="430"/>
      <c r="F29" s="430"/>
      <c r="G29" s="430"/>
      <c r="H29" s="430"/>
      <c r="I29" s="430"/>
      <c r="J29" s="410"/>
      <c r="K29" s="396"/>
      <c r="L29" s="396"/>
      <c r="M29" s="396"/>
      <c r="N29" s="396"/>
      <c r="O29" s="396"/>
      <c r="P29" s="396"/>
      <c r="Q29" s="396"/>
      <c r="R29" s="396"/>
      <c r="S29" s="396"/>
      <c r="T29" s="396"/>
      <c r="U29" s="396"/>
      <c r="V29" s="396"/>
      <c r="W29" s="396"/>
      <c r="X29" s="396"/>
      <c r="Y29" s="396"/>
      <c r="Z29" s="396"/>
      <c r="AA29" s="396"/>
      <c r="AB29" s="396"/>
      <c r="AC29" s="396"/>
      <c r="AD29" s="396"/>
      <c r="AE29" s="396"/>
      <c r="AF29" s="396"/>
      <c r="AG29" s="396"/>
      <c r="AH29" s="396"/>
      <c r="AI29" s="396"/>
      <c r="AJ29" s="396"/>
      <c r="AK29" s="396"/>
      <c r="AL29" s="396"/>
      <c r="AM29" s="396"/>
      <c r="AN29" s="396"/>
      <c r="AO29" s="396"/>
      <c r="AP29" s="396"/>
      <c r="AQ29" s="396"/>
      <c r="AR29" s="396"/>
      <c r="AS29" s="396"/>
      <c r="AT29" s="396"/>
      <c r="AU29" s="396"/>
      <c r="AV29" s="396"/>
      <c r="AW29" s="396"/>
      <c r="AX29" s="396"/>
      <c r="AY29" s="396"/>
      <c r="AZ29" s="396"/>
      <c r="BA29" s="396"/>
      <c r="BB29" s="396"/>
      <c r="BC29" s="396"/>
      <c r="BD29" s="396"/>
      <c r="BE29" s="396"/>
      <c r="BF29" s="396"/>
      <c r="BG29" s="396"/>
      <c r="BH29" s="396"/>
      <c r="BI29" s="396"/>
      <c r="BJ29" s="396"/>
      <c r="BK29" s="396"/>
      <c r="BL29" s="396"/>
      <c r="BM29" s="396"/>
      <c r="BN29" s="396"/>
      <c r="BO29" s="396"/>
      <c r="BP29" s="396"/>
      <c r="BQ29" s="396"/>
      <c r="BR29" s="396"/>
      <c r="BS29" s="396"/>
      <c r="BT29" s="396"/>
      <c r="BU29" s="396"/>
      <c r="BV29" s="396"/>
      <c r="BW29" s="396"/>
      <c r="BX29" s="396"/>
      <c r="BY29" s="396"/>
      <c r="BZ29" s="396"/>
      <c r="CA29" s="396"/>
      <c r="CB29" s="396"/>
      <c r="CC29" s="396"/>
    </row>
    <row r="30" spans="1:81" s="396" customFormat="1" ht="27" customHeight="1" x14ac:dyDescent="0.3">
      <c r="A30" s="428"/>
      <c r="B30" s="398" t="s">
        <v>316</v>
      </c>
      <c r="C30" s="397">
        <f>C448</f>
        <v>165843398.80000001</v>
      </c>
      <c r="D30" s="397">
        <f>D448</f>
        <v>169653408.5</v>
      </c>
      <c r="E30" s="397"/>
      <c r="F30" s="397"/>
      <c r="G30" s="397"/>
      <c r="H30" s="397"/>
      <c r="I30" s="397"/>
    </row>
    <row r="31" spans="1:81" s="396" customFormat="1" ht="27" customHeight="1" x14ac:dyDescent="0.25">
      <c r="A31" s="427"/>
      <c r="B31" s="417" t="s">
        <v>755</v>
      </c>
      <c r="C31" s="421">
        <f>C449</f>
        <v>84320582.799999997</v>
      </c>
      <c r="D31" s="421">
        <f>D449</f>
        <v>84633644.5</v>
      </c>
      <c r="E31" s="421"/>
      <c r="F31" s="421"/>
      <c r="G31" s="421"/>
      <c r="H31" s="421"/>
      <c r="I31" s="421"/>
      <c r="J31" s="410"/>
    </row>
    <row r="32" spans="1:81" s="396" customFormat="1" ht="27" customHeight="1" x14ac:dyDescent="0.2">
      <c r="A32" s="417"/>
      <c r="B32" s="417" t="s">
        <v>754</v>
      </c>
      <c r="C32" s="421">
        <f>C501</f>
        <v>63946000</v>
      </c>
      <c r="D32" s="421">
        <f>D501</f>
        <v>66382479</v>
      </c>
      <c r="E32" s="421"/>
      <c r="F32" s="421"/>
      <c r="G32" s="421"/>
      <c r="H32" s="421"/>
      <c r="I32" s="421"/>
      <c r="J32" s="410"/>
    </row>
    <row r="33" spans="1:10" s="396" customFormat="1" ht="27" customHeight="1" thickBot="1" x14ac:dyDescent="0.25">
      <c r="A33" s="420"/>
      <c r="B33" s="402" t="s">
        <v>753</v>
      </c>
      <c r="C33" s="419">
        <f>C524</f>
        <v>17576816</v>
      </c>
      <c r="D33" s="419">
        <f>D524</f>
        <v>18637285</v>
      </c>
      <c r="E33" s="419"/>
      <c r="F33" s="419"/>
      <c r="G33" s="419"/>
      <c r="H33" s="419"/>
      <c r="I33" s="419"/>
      <c r="J33" s="410"/>
    </row>
    <row r="34" spans="1:10" s="396" customFormat="1" ht="27" customHeight="1" thickBot="1" x14ac:dyDescent="0.35">
      <c r="A34" s="402"/>
      <c r="B34" s="426" t="s">
        <v>752</v>
      </c>
      <c r="C34" s="411">
        <f>C535</f>
        <v>24084500</v>
      </c>
      <c r="D34" s="411">
        <f>D535</f>
        <v>24084500</v>
      </c>
      <c r="E34" s="411"/>
      <c r="F34" s="411"/>
      <c r="G34" s="411"/>
      <c r="H34" s="411"/>
      <c r="I34" s="411"/>
    </row>
    <row r="35" spans="1:10" s="396" customFormat="1" ht="27" customHeight="1" thickBot="1" x14ac:dyDescent="0.35">
      <c r="A35" s="402"/>
      <c r="B35" s="426" t="s">
        <v>751</v>
      </c>
      <c r="C35" s="411">
        <f>C539</f>
        <v>34895800</v>
      </c>
      <c r="D35" s="411">
        <f>D539</f>
        <v>35062237.5</v>
      </c>
      <c r="E35" s="411"/>
      <c r="F35" s="411"/>
      <c r="G35" s="411"/>
      <c r="H35" s="411"/>
      <c r="I35" s="411"/>
    </row>
    <row r="36" spans="1:10" s="396" customFormat="1" ht="27" customHeight="1" thickBot="1" x14ac:dyDescent="0.25">
      <c r="A36" s="425"/>
      <c r="B36" s="424" t="s">
        <v>750</v>
      </c>
      <c r="C36" s="423">
        <f>C556</f>
        <v>149365960</v>
      </c>
      <c r="D36" s="423">
        <f>D556</f>
        <v>151136957</v>
      </c>
      <c r="E36" s="423"/>
      <c r="F36" s="423"/>
      <c r="G36" s="423"/>
      <c r="H36" s="423"/>
      <c r="I36" s="423"/>
    </row>
    <row r="37" spans="1:10" s="396" customFormat="1" ht="27" customHeight="1" x14ac:dyDescent="0.3">
      <c r="A37" s="405"/>
      <c r="B37" s="398" t="s">
        <v>214</v>
      </c>
      <c r="C37" s="397">
        <f>C565</f>
        <v>10937288</v>
      </c>
      <c r="D37" s="397">
        <f>D565</f>
        <v>10887288</v>
      </c>
      <c r="E37" s="397"/>
      <c r="F37" s="397"/>
      <c r="G37" s="397"/>
      <c r="H37" s="397"/>
      <c r="I37" s="397"/>
      <c r="J37" s="410"/>
    </row>
    <row r="38" spans="1:10" s="396" customFormat="1" ht="27" customHeight="1" x14ac:dyDescent="0.2">
      <c r="A38" s="422"/>
      <c r="B38" s="422" t="s">
        <v>749</v>
      </c>
      <c r="C38" s="421">
        <f>C566</f>
        <v>3067000</v>
      </c>
      <c r="D38" s="421">
        <f>D566</f>
        <v>3017000</v>
      </c>
      <c r="E38" s="421"/>
      <c r="F38" s="421"/>
      <c r="G38" s="421"/>
      <c r="H38" s="421"/>
      <c r="I38" s="421"/>
      <c r="J38" s="410"/>
    </row>
    <row r="39" spans="1:10" s="396" customFormat="1" ht="27" customHeight="1" thickBot="1" x14ac:dyDescent="0.25">
      <c r="A39" s="420"/>
      <c r="B39" s="420" t="s">
        <v>748</v>
      </c>
      <c r="C39" s="419">
        <f>C591</f>
        <v>7870288</v>
      </c>
      <c r="D39" s="419">
        <f>D591</f>
        <v>7870288</v>
      </c>
      <c r="E39" s="419"/>
      <c r="F39" s="419"/>
      <c r="G39" s="419"/>
      <c r="H39" s="419"/>
      <c r="I39" s="419"/>
    </row>
    <row r="40" spans="1:10" s="396" customFormat="1" ht="27" customHeight="1" x14ac:dyDescent="0.3">
      <c r="A40" s="405"/>
      <c r="B40" s="418" t="s">
        <v>747</v>
      </c>
      <c r="C40" s="403">
        <f>C602</f>
        <v>13505100</v>
      </c>
      <c r="D40" s="403">
        <f>D602</f>
        <v>20484366</v>
      </c>
      <c r="E40" s="403"/>
      <c r="F40" s="403"/>
      <c r="G40" s="403"/>
      <c r="H40" s="403"/>
      <c r="I40" s="403"/>
    </row>
    <row r="41" spans="1:10" s="396" customFormat="1" ht="27" customHeight="1" x14ac:dyDescent="0.3">
      <c r="A41" s="417"/>
      <c r="B41" s="416" t="s">
        <v>746</v>
      </c>
      <c r="C41" s="415">
        <f t="shared" ref="C41:D43" si="0">C604</f>
        <v>6835500</v>
      </c>
      <c r="D41" s="415">
        <f t="shared" si="0"/>
        <v>10831648</v>
      </c>
      <c r="E41" s="415"/>
      <c r="F41" s="415"/>
      <c r="G41" s="415"/>
      <c r="H41" s="415"/>
      <c r="I41" s="415"/>
    </row>
    <row r="42" spans="1:10" s="396" customFormat="1" ht="27" customHeight="1" x14ac:dyDescent="0.3">
      <c r="A42" s="414"/>
      <c r="B42" s="413" t="s">
        <v>745</v>
      </c>
      <c r="C42" s="397">
        <f t="shared" si="0"/>
        <v>1739300</v>
      </c>
      <c r="D42" s="397">
        <f t="shared" si="0"/>
        <v>2644275</v>
      </c>
      <c r="E42" s="397"/>
      <c r="F42" s="397"/>
      <c r="G42" s="397"/>
      <c r="H42" s="397"/>
      <c r="I42" s="397"/>
    </row>
    <row r="43" spans="1:10" s="396" customFormat="1" ht="27" customHeight="1" thickBot="1" x14ac:dyDescent="0.35">
      <c r="A43" s="402"/>
      <c r="B43" s="412" t="s">
        <v>744</v>
      </c>
      <c r="C43" s="411">
        <f t="shared" si="0"/>
        <v>4930300</v>
      </c>
      <c r="D43" s="411">
        <f t="shared" si="0"/>
        <v>7008443</v>
      </c>
      <c r="E43" s="411"/>
      <c r="F43" s="411"/>
      <c r="G43" s="411"/>
      <c r="H43" s="411"/>
      <c r="I43" s="411"/>
      <c r="J43" s="410"/>
    </row>
    <row r="44" spans="1:10" s="396" customFormat="1" ht="27" customHeight="1" thickBot="1" x14ac:dyDescent="0.35">
      <c r="A44" s="409"/>
      <c r="B44" s="408" t="s">
        <v>176</v>
      </c>
      <c r="C44" s="407">
        <f>C608</f>
        <v>58483000</v>
      </c>
      <c r="D44" s="407">
        <f>D608</f>
        <v>59095350</v>
      </c>
      <c r="E44" s="407"/>
      <c r="F44" s="407"/>
      <c r="G44" s="407"/>
      <c r="H44" s="407"/>
      <c r="I44" s="407"/>
    </row>
    <row r="45" spans="1:10" s="396" customFormat="1" ht="27" customHeight="1" thickBot="1" x14ac:dyDescent="0.35">
      <c r="A45" s="409"/>
      <c r="B45" s="408" t="s">
        <v>743</v>
      </c>
      <c r="C45" s="407">
        <f>C634</f>
        <v>224822000</v>
      </c>
      <c r="D45" s="407">
        <f>D634</f>
        <v>222087754.03</v>
      </c>
      <c r="E45" s="407"/>
      <c r="F45" s="407"/>
      <c r="G45" s="407"/>
      <c r="H45" s="407"/>
      <c r="I45" s="407"/>
      <c r="J45" s="406"/>
    </row>
    <row r="46" spans="1:10" s="396" customFormat="1" ht="27" customHeight="1" x14ac:dyDescent="0.3">
      <c r="A46" s="405"/>
      <c r="B46" s="404" t="s">
        <v>30</v>
      </c>
      <c r="C46" s="403">
        <f>C774</f>
        <v>600000</v>
      </c>
      <c r="D46" s="403">
        <f>D774</f>
        <v>600000</v>
      </c>
      <c r="E46" s="403"/>
      <c r="F46" s="403"/>
      <c r="G46" s="403"/>
      <c r="H46" s="403"/>
      <c r="I46" s="403"/>
      <c r="J46" s="375"/>
    </row>
    <row r="47" spans="1:10" s="396" customFormat="1" ht="27" customHeight="1" thickBot="1" x14ac:dyDescent="0.25">
      <c r="A47" s="402"/>
      <c r="B47" s="401" t="s">
        <v>742</v>
      </c>
      <c r="C47" s="400">
        <f>C782</f>
        <v>0</v>
      </c>
      <c r="D47" s="400">
        <f>D782</f>
        <v>0</v>
      </c>
      <c r="E47" s="400"/>
      <c r="F47" s="400"/>
      <c r="G47" s="400"/>
      <c r="H47" s="400"/>
      <c r="I47" s="400"/>
      <c r="J47" s="201"/>
    </row>
    <row r="48" spans="1:10" s="396" customFormat="1" ht="27" customHeight="1" thickBot="1" x14ac:dyDescent="0.35">
      <c r="A48" s="399"/>
      <c r="B48" s="398" t="s">
        <v>20</v>
      </c>
      <c r="C48" s="397">
        <f>C785</f>
        <v>36184308.620000005</v>
      </c>
      <c r="D48" s="397">
        <f>D785</f>
        <v>48921338.649999999</v>
      </c>
      <c r="E48" s="397"/>
      <c r="F48" s="397"/>
      <c r="G48" s="397"/>
      <c r="H48" s="397"/>
      <c r="I48" s="397"/>
      <c r="J48" s="201"/>
    </row>
    <row r="49" spans="1:10" s="394" customFormat="1" ht="27" customHeight="1" thickBot="1" x14ac:dyDescent="0.35">
      <c r="A49" s="395"/>
      <c r="B49" s="139" t="s">
        <v>0</v>
      </c>
      <c r="C49" s="176">
        <f>C809</f>
        <v>902306516.75</v>
      </c>
      <c r="D49" s="176">
        <f>D809</f>
        <v>909527450.50999987</v>
      </c>
      <c r="E49" s="176"/>
      <c r="F49" s="176"/>
      <c r="G49" s="176"/>
      <c r="H49" s="176"/>
      <c r="I49" s="176"/>
      <c r="J49" s="14"/>
    </row>
    <row r="50" spans="1:10" s="394" customFormat="1" ht="27" customHeight="1" thickBot="1" x14ac:dyDescent="0.35">
      <c r="A50" s="395"/>
      <c r="B50" s="139"/>
      <c r="C50" s="177"/>
      <c r="D50" s="177"/>
      <c r="E50" s="391"/>
      <c r="F50" s="390"/>
      <c r="G50" s="389"/>
      <c r="H50" s="389"/>
      <c r="I50" s="389"/>
      <c r="J50" s="201"/>
    </row>
    <row r="51" spans="1:10" s="375" customFormat="1" ht="30" customHeight="1" thickBot="1" x14ac:dyDescent="0.35">
      <c r="A51" s="393"/>
      <c r="B51" s="392" t="s">
        <v>741</v>
      </c>
      <c r="C51" s="389"/>
      <c r="D51" s="389"/>
      <c r="E51" s="189"/>
      <c r="F51" s="390"/>
      <c r="G51" s="479"/>
      <c r="H51" s="479"/>
      <c r="I51" s="479"/>
      <c r="J51" s="14"/>
    </row>
    <row r="52" spans="1:10" s="564" customFormat="1" ht="30" customHeight="1" thickBot="1" x14ac:dyDescent="0.3">
      <c r="A52" s="388"/>
      <c r="B52" s="560" t="s">
        <v>740</v>
      </c>
      <c r="C52" s="561">
        <f>SUM(C53:C65,C69,C72:C75,C82:C84)</f>
        <v>388416000</v>
      </c>
      <c r="D52" s="561">
        <f>SUM(D53:D65,D69,D72:D75,D82:D84)</f>
        <v>380523830</v>
      </c>
      <c r="E52" s="562"/>
      <c r="F52" s="563"/>
      <c r="G52" s="550"/>
      <c r="H52" s="550"/>
      <c r="I52" s="550"/>
      <c r="J52" s="568"/>
    </row>
    <row r="53" spans="1:10" s="220" customFormat="1" ht="30" customHeight="1" x14ac:dyDescent="0.2">
      <c r="A53" s="138">
        <v>1111</v>
      </c>
      <c r="B53" s="386" t="s">
        <v>739</v>
      </c>
      <c r="C53" s="120">
        <f>(85460000-83860000)/2+83860000</f>
        <v>84660000</v>
      </c>
      <c r="D53" s="120">
        <f>((85460000-83860000)/2+83860000)-29857260</f>
        <v>54802740</v>
      </c>
      <c r="E53" s="120"/>
      <c r="F53" s="126"/>
      <c r="G53" s="120"/>
      <c r="H53" s="120"/>
      <c r="I53" s="120"/>
      <c r="J53" s="14"/>
    </row>
    <row r="54" spans="1:10" s="3" customFormat="1" ht="30" customHeight="1" x14ac:dyDescent="0.2">
      <c r="A54" s="124">
        <v>1111</v>
      </c>
      <c r="B54" s="184" t="s">
        <v>738</v>
      </c>
      <c r="C54" s="120">
        <f>(8650000-8490000)/2+8490000</f>
        <v>8570000</v>
      </c>
      <c r="D54" s="120">
        <f>((8650000-8490000)/2+8490000)-3427100</f>
        <v>5142900</v>
      </c>
      <c r="E54" s="187"/>
      <c r="F54" s="480"/>
      <c r="G54" s="120"/>
      <c r="H54" s="120"/>
      <c r="I54" s="120"/>
      <c r="J54" s="14"/>
    </row>
    <row r="55" spans="1:10" s="3" customFormat="1" ht="30" customHeight="1" x14ac:dyDescent="0.2">
      <c r="A55" s="124">
        <v>1112</v>
      </c>
      <c r="B55" s="184" t="s">
        <v>737</v>
      </c>
      <c r="C55" s="120">
        <f>(1280000-1140000)/2+1140000</f>
        <v>1210000</v>
      </c>
      <c r="D55" s="120">
        <f>((1280000-1140000)/2+1140000)+406600</f>
        <v>1616600</v>
      </c>
      <c r="E55" s="121"/>
      <c r="F55" s="130"/>
      <c r="G55" s="120"/>
      <c r="H55" s="120"/>
      <c r="I55" s="120"/>
      <c r="J55" s="14"/>
    </row>
    <row r="56" spans="1:10" s="3" customFormat="1" ht="30" customHeight="1" x14ac:dyDescent="0.2">
      <c r="A56" s="124">
        <v>1113</v>
      </c>
      <c r="B56" s="184" t="s">
        <v>736</v>
      </c>
      <c r="C56" s="120">
        <v>8425000</v>
      </c>
      <c r="D56" s="120">
        <f>8425000-18680</f>
        <v>8406320</v>
      </c>
      <c r="E56" s="121"/>
      <c r="F56" s="130"/>
      <c r="G56" s="120"/>
      <c r="H56" s="120"/>
      <c r="I56" s="120"/>
      <c r="J56" s="14"/>
    </row>
    <row r="57" spans="1:10" s="3" customFormat="1" ht="30" customHeight="1" x14ac:dyDescent="0.2">
      <c r="A57" s="124">
        <v>1121</v>
      </c>
      <c r="B57" s="184" t="s">
        <v>735</v>
      </c>
      <c r="C57" s="120">
        <f>(50430000-49560000)/2+49560000</f>
        <v>49995000</v>
      </c>
      <c r="D57" s="120">
        <f>((50430000-49560000)/2+49560000)+4322760</f>
        <v>54317760</v>
      </c>
      <c r="E57" s="121"/>
      <c r="F57" s="130"/>
      <c r="G57" s="120"/>
      <c r="H57" s="120"/>
      <c r="I57" s="120"/>
      <c r="J57" s="14"/>
    </row>
    <row r="58" spans="1:10" s="3" customFormat="1" ht="30" customHeight="1" x14ac:dyDescent="0.2">
      <c r="A58" s="124">
        <v>1122</v>
      </c>
      <c r="B58" s="184" t="s">
        <v>734</v>
      </c>
      <c r="C58" s="121">
        <v>23000000</v>
      </c>
      <c r="D58" s="121">
        <f>23000000-1962450</f>
        <v>21037550</v>
      </c>
      <c r="E58" s="121"/>
      <c r="F58" s="130"/>
      <c r="G58" s="120"/>
      <c r="H58" s="120"/>
      <c r="I58" s="120"/>
      <c r="J58" s="14"/>
    </row>
    <row r="59" spans="1:10" s="3" customFormat="1" ht="30" customHeight="1" x14ac:dyDescent="0.2">
      <c r="A59" s="124">
        <v>1211</v>
      </c>
      <c r="B59" s="184" t="s">
        <v>733</v>
      </c>
      <c r="C59" s="120">
        <f>(168370000-160100000)/2+160100000</f>
        <v>164235000</v>
      </c>
      <c r="D59" s="120">
        <f>((168370000-160100000)/2+160100000)+22643960</f>
        <v>186878960</v>
      </c>
      <c r="E59" s="170"/>
      <c r="F59" s="295"/>
      <c r="G59" s="120"/>
      <c r="H59" s="120"/>
      <c r="I59" s="120"/>
      <c r="J59" s="14"/>
    </row>
    <row r="60" spans="1:10" s="3" customFormat="1" ht="30" customHeight="1" x14ac:dyDescent="0.2">
      <c r="A60" s="124">
        <v>1334</v>
      </c>
      <c r="B60" s="184" t="s">
        <v>732</v>
      </c>
      <c r="C60" s="120">
        <v>50000</v>
      </c>
      <c r="D60" s="120">
        <v>50000</v>
      </c>
      <c r="E60" s="121"/>
      <c r="F60" s="121"/>
      <c r="G60" s="120"/>
      <c r="H60" s="120"/>
      <c r="I60" s="120"/>
      <c r="J60" s="14"/>
    </row>
    <row r="61" spans="1:10" s="3" customFormat="1" ht="30" customHeight="1" x14ac:dyDescent="0.2">
      <c r="A61" s="124">
        <v>1335</v>
      </c>
      <c r="B61" s="184" t="s">
        <v>731</v>
      </c>
      <c r="C61" s="120">
        <v>5000</v>
      </c>
      <c r="D61" s="120">
        <v>5000</v>
      </c>
      <c r="E61" s="121"/>
      <c r="F61" s="121"/>
      <c r="G61" s="120"/>
      <c r="H61" s="120"/>
      <c r="I61" s="120"/>
      <c r="J61" s="14"/>
    </row>
    <row r="62" spans="1:10" s="3" customFormat="1" ht="30" customHeight="1" x14ac:dyDescent="0.2">
      <c r="A62" s="124">
        <v>1336</v>
      </c>
      <c r="B62" s="184" t="s">
        <v>730</v>
      </c>
      <c r="C62" s="120">
        <v>0</v>
      </c>
      <c r="D62" s="120">
        <v>0</v>
      </c>
      <c r="E62" s="121"/>
      <c r="F62" s="121"/>
      <c r="G62" s="120"/>
      <c r="H62" s="120"/>
      <c r="I62" s="120"/>
      <c r="J62" s="6"/>
    </row>
    <row r="63" spans="1:10" s="3" customFormat="1" ht="30" customHeight="1" x14ac:dyDescent="0.2">
      <c r="A63" s="124">
        <v>1340</v>
      </c>
      <c r="B63" s="203" t="s">
        <v>729</v>
      </c>
      <c r="C63" s="121">
        <v>13000000</v>
      </c>
      <c r="D63" s="121">
        <v>13000000</v>
      </c>
      <c r="E63" s="121"/>
      <c r="F63" s="121"/>
      <c r="G63" s="120"/>
      <c r="H63" s="120"/>
      <c r="I63" s="120"/>
      <c r="J63" s="6"/>
    </row>
    <row r="64" spans="1:10" s="3" customFormat="1" ht="30" customHeight="1" x14ac:dyDescent="0.2">
      <c r="A64" s="124">
        <v>1341</v>
      </c>
      <c r="B64" s="184" t="s">
        <v>728</v>
      </c>
      <c r="C64" s="120">
        <v>650000</v>
      </c>
      <c r="D64" s="120">
        <v>650000</v>
      </c>
      <c r="E64" s="121"/>
      <c r="F64" s="130"/>
      <c r="G64" s="120"/>
      <c r="H64" s="120"/>
      <c r="I64" s="120"/>
      <c r="J64" s="6"/>
    </row>
    <row r="65" spans="1:31" s="3" customFormat="1" ht="30" customHeight="1" x14ac:dyDescent="0.2">
      <c r="A65" s="124">
        <v>1343</v>
      </c>
      <c r="B65" s="184" t="s">
        <v>727</v>
      </c>
      <c r="C65" s="170">
        <f>SUM(C66:C68)</f>
        <v>385000</v>
      </c>
      <c r="D65" s="170">
        <f>SUM(D66:D68)</f>
        <v>385000</v>
      </c>
      <c r="E65" s="121"/>
      <c r="F65" s="121"/>
      <c r="G65" s="120"/>
      <c r="H65" s="120"/>
      <c r="I65" s="120"/>
      <c r="J65" s="14"/>
    </row>
    <row r="66" spans="1:31" ht="30" customHeight="1" x14ac:dyDescent="0.2">
      <c r="A66" s="132"/>
      <c r="B66" s="185" t="s">
        <v>726</v>
      </c>
      <c r="C66" s="126">
        <v>300000</v>
      </c>
      <c r="D66" s="126">
        <v>300000</v>
      </c>
      <c r="E66" s="130"/>
      <c r="F66" s="130"/>
      <c r="G66" s="126"/>
      <c r="H66" s="126"/>
      <c r="I66" s="126"/>
      <c r="J66" s="14"/>
    </row>
    <row r="67" spans="1:31" ht="30" customHeight="1" x14ac:dyDescent="0.2">
      <c r="A67" s="132"/>
      <c r="B67" s="185" t="s">
        <v>725</v>
      </c>
      <c r="C67" s="126">
        <v>60000</v>
      </c>
      <c r="D67" s="126">
        <v>60000</v>
      </c>
      <c r="E67" s="130"/>
      <c r="F67" s="130"/>
      <c r="G67" s="126"/>
      <c r="H67" s="126"/>
      <c r="I67" s="126"/>
      <c r="J67" s="14"/>
    </row>
    <row r="68" spans="1:31" ht="30" customHeight="1" x14ac:dyDescent="0.2">
      <c r="A68" s="132"/>
      <c r="B68" s="185" t="s">
        <v>724</v>
      </c>
      <c r="C68" s="126">
        <v>25000</v>
      </c>
      <c r="D68" s="126">
        <v>25000</v>
      </c>
      <c r="E68" s="295"/>
      <c r="F68" s="295"/>
      <c r="G68" s="126"/>
      <c r="H68" s="126"/>
      <c r="I68" s="126"/>
      <c r="J68" s="6"/>
    </row>
    <row r="69" spans="1:31" s="220" customFormat="1" ht="30" customHeight="1" x14ac:dyDescent="0.2">
      <c r="A69" s="20">
        <v>1346</v>
      </c>
      <c r="B69" s="385" t="s">
        <v>723</v>
      </c>
      <c r="C69" s="120">
        <f>SUM(C70:C71)</f>
        <v>95000</v>
      </c>
      <c r="D69" s="120">
        <f>SUM(D70:D71)</f>
        <v>95000</v>
      </c>
      <c r="E69" s="121"/>
      <c r="F69" s="121"/>
      <c r="G69" s="120"/>
      <c r="H69" s="120"/>
      <c r="I69" s="120"/>
      <c r="J69" s="6"/>
    </row>
    <row r="70" spans="1:31" s="90" customFormat="1" ht="30" customHeight="1" x14ac:dyDescent="0.2">
      <c r="A70" s="23"/>
      <c r="B70" s="384" t="s">
        <v>722</v>
      </c>
      <c r="C70" s="126">
        <v>5000</v>
      </c>
      <c r="D70" s="126">
        <v>5000</v>
      </c>
      <c r="E70" s="130"/>
      <c r="F70" s="121"/>
      <c r="G70" s="126"/>
      <c r="H70" s="126"/>
      <c r="I70" s="126"/>
      <c r="J70" s="6"/>
    </row>
    <row r="71" spans="1:31" s="383" customFormat="1" ht="30" customHeight="1" x14ac:dyDescent="0.2">
      <c r="A71" s="307"/>
      <c r="B71" s="166" t="s">
        <v>721</v>
      </c>
      <c r="C71" s="133">
        <v>90000</v>
      </c>
      <c r="D71" s="133">
        <v>90000</v>
      </c>
      <c r="E71" s="130"/>
      <c r="F71" s="130"/>
      <c r="G71" s="126"/>
      <c r="H71" s="126"/>
      <c r="I71" s="126"/>
      <c r="J71" s="14"/>
    </row>
    <row r="72" spans="1:31" s="220" customFormat="1" ht="30" customHeight="1" x14ac:dyDescent="0.2">
      <c r="A72" s="20">
        <v>1353</v>
      </c>
      <c r="B72" s="19" t="s">
        <v>720</v>
      </c>
      <c r="C72" s="120">
        <v>600000</v>
      </c>
      <c r="D72" s="120">
        <v>600000</v>
      </c>
      <c r="E72" s="121"/>
      <c r="F72" s="130"/>
      <c r="G72" s="120"/>
      <c r="H72" s="120"/>
      <c r="I72" s="120"/>
      <c r="J72" s="14"/>
    </row>
    <row r="73" spans="1:31" s="3" customFormat="1" ht="30" customHeight="1" x14ac:dyDescent="0.2">
      <c r="A73" s="124">
        <v>1356</v>
      </c>
      <c r="B73" s="184" t="s">
        <v>719</v>
      </c>
      <c r="C73" s="121">
        <v>250000</v>
      </c>
      <c r="D73" s="121">
        <v>250000</v>
      </c>
      <c r="E73" s="121"/>
      <c r="F73" s="130"/>
      <c r="G73" s="120"/>
      <c r="H73" s="120"/>
      <c r="I73" s="120"/>
      <c r="J73" s="6"/>
    </row>
    <row r="74" spans="1:31" s="3" customFormat="1" ht="30" customHeight="1" x14ac:dyDescent="0.2">
      <c r="A74" s="124">
        <v>1359</v>
      </c>
      <c r="B74" s="184" t="s">
        <v>718</v>
      </c>
      <c r="C74" s="120">
        <v>0</v>
      </c>
      <c r="D74" s="120">
        <v>0</v>
      </c>
      <c r="E74" s="121"/>
      <c r="F74" s="130"/>
      <c r="G74" s="120"/>
      <c r="H74" s="120"/>
      <c r="I74" s="120"/>
      <c r="J74" s="14"/>
    </row>
    <row r="75" spans="1:31" s="3" customFormat="1" ht="30" customHeight="1" x14ac:dyDescent="0.2">
      <c r="A75" s="124">
        <v>1361</v>
      </c>
      <c r="B75" s="184" t="s">
        <v>717</v>
      </c>
      <c r="C75" s="170">
        <f>SUM(C76:C81)</f>
        <v>8086000</v>
      </c>
      <c r="D75" s="170">
        <f>SUM(D76:D81)</f>
        <v>8086000</v>
      </c>
      <c r="E75" s="121"/>
      <c r="F75" s="130"/>
      <c r="G75" s="120"/>
      <c r="H75" s="120"/>
      <c r="I75" s="120"/>
      <c r="J75" s="14"/>
    </row>
    <row r="76" spans="1:31" s="375" customFormat="1" ht="30" customHeight="1" x14ac:dyDescent="0.2">
      <c r="A76" s="16"/>
      <c r="B76" s="15" t="s">
        <v>716</v>
      </c>
      <c r="C76" s="126">
        <v>5500000</v>
      </c>
      <c r="D76" s="126">
        <v>5500000</v>
      </c>
      <c r="E76" s="130"/>
      <c r="F76" s="130"/>
      <c r="G76" s="126"/>
      <c r="H76" s="126"/>
      <c r="I76" s="126"/>
      <c r="J76" s="14"/>
    </row>
    <row r="77" spans="1:31" ht="30" customHeight="1" x14ac:dyDescent="0.2">
      <c r="A77" s="132"/>
      <c r="B77" s="183" t="s">
        <v>715</v>
      </c>
      <c r="C77" s="126">
        <v>400000</v>
      </c>
      <c r="D77" s="126">
        <v>400000</v>
      </c>
      <c r="E77" s="130"/>
      <c r="F77" s="130"/>
      <c r="G77" s="126"/>
      <c r="H77" s="126"/>
      <c r="I77" s="126"/>
      <c r="J77" s="6"/>
    </row>
    <row r="78" spans="1:31" ht="30" customHeight="1" x14ac:dyDescent="0.2">
      <c r="A78" s="132"/>
      <c r="B78" s="185" t="s">
        <v>714</v>
      </c>
      <c r="C78" s="126">
        <v>1000000</v>
      </c>
      <c r="D78" s="126">
        <v>1000000</v>
      </c>
      <c r="E78" s="130"/>
      <c r="F78" s="130"/>
      <c r="G78" s="126"/>
      <c r="H78" s="126"/>
      <c r="I78" s="126"/>
      <c r="J78" s="14"/>
    </row>
    <row r="79" spans="1:31" s="377" customFormat="1" ht="30" customHeight="1" x14ac:dyDescent="0.2">
      <c r="A79" s="237"/>
      <c r="B79" s="155" t="s">
        <v>713</v>
      </c>
      <c r="C79" s="133">
        <v>1000000</v>
      </c>
      <c r="D79" s="133">
        <v>1000000</v>
      </c>
      <c r="E79" s="130"/>
      <c r="F79" s="130"/>
      <c r="G79" s="126"/>
      <c r="H79" s="126"/>
      <c r="I79" s="126"/>
      <c r="J79" s="14"/>
      <c r="K79" s="378"/>
      <c r="L79" s="378"/>
      <c r="M79" s="378"/>
      <c r="N79" s="378"/>
      <c r="O79" s="378"/>
      <c r="P79" s="378"/>
      <c r="Q79" s="378"/>
      <c r="R79" s="378"/>
      <c r="S79" s="378"/>
      <c r="T79" s="378"/>
      <c r="U79" s="378"/>
      <c r="V79" s="378"/>
      <c r="W79" s="378"/>
      <c r="X79" s="378"/>
      <c r="Y79" s="378"/>
      <c r="Z79" s="378"/>
      <c r="AA79" s="378"/>
      <c r="AB79" s="378"/>
      <c r="AC79" s="378"/>
      <c r="AD79" s="378"/>
      <c r="AE79" s="378"/>
    </row>
    <row r="80" spans="1:31" ht="30" customHeight="1" x14ac:dyDescent="0.2">
      <c r="A80" s="132"/>
      <c r="B80" s="185" t="s">
        <v>712</v>
      </c>
      <c r="C80" s="130">
        <v>182000</v>
      </c>
      <c r="D80" s="130">
        <v>182000</v>
      </c>
      <c r="E80" s="130"/>
      <c r="F80" s="130"/>
      <c r="G80" s="126"/>
      <c r="H80" s="126"/>
      <c r="I80" s="126"/>
      <c r="J80" s="14"/>
    </row>
    <row r="81" spans="1:10" ht="30" customHeight="1" x14ac:dyDescent="0.2">
      <c r="A81" s="132"/>
      <c r="B81" s="185" t="s">
        <v>711</v>
      </c>
      <c r="C81" s="126">
        <v>4000</v>
      </c>
      <c r="D81" s="126">
        <v>4000</v>
      </c>
      <c r="E81" s="130"/>
      <c r="F81" s="130"/>
      <c r="G81" s="126"/>
      <c r="H81" s="126"/>
      <c r="I81" s="126"/>
      <c r="J81" s="14"/>
    </row>
    <row r="82" spans="1:10" ht="30" customHeight="1" x14ac:dyDescent="0.2">
      <c r="A82" s="382">
        <v>1381</v>
      </c>
      <c r="B82" s="381" t="s">
        <v>710</v>
      </c>
      <c r="C82" s="120">
        <v>2300000</v>
      </c>
      <c r="D82" s="120">
        <v>2300000</v>
      </c>
      <c r="E82" s="508"/>
      <c r="F82" s="509"/>
      <c r="G82" s="120"/>
      <c r="H82" s="120"/>
      <c r="I82" s="120"/>
      <c r="J82" s="14"/>
    </row>
    <row r="83" spans="1:10" ht="30" customHeight="1" x14ac:dyDescent="0.2">
      <c r="A83" s="382">
        <v>1385</v>
      </c>
      <c r="B83" s="381" t="s">
        <v>709</v>
      </c>
      <c r="C83" s="120">
        <v>10400000</v>
      </c>
      <c r="D83" s="120">
        <v>10400000</v>
      </c>
      <c r="E83" s="510"/>
      <c r="F83" s="130"/>
      <c r="G83" s="120"/>
      <c r="H83" s="120"/>
      <c r="I83" s="120"/>
      <c r="J83" s="14"/>
    </row>
    <row r="84" spans="1:10" s="3" customFormat="1" ht="30" customHeight="1" x14ac:dyDescent="0.2">
      <c r="A84" s="124">
        <v>1511</v>
      </c>
      <c r="B84" s="184" t="s">
        <v>708</v>
      </c>
      <c r="C84" s="121">
        <v>12500000</v>
      </c>
      <c r="D84" s="121">
        <v>12500000</v>
      </c>
      <c r="E84" s="120"/>
      <c r="F84" s="120"/>
      <c r="G84" s="120"/>
      <c r="H84" s="120"/>
      <c r="I84" s="120"/>
      <c r="J84" s="14"/>
    </row>
    <row r="85" spans="1:10" s="3" customFormat="1" ht="30" customHeight="1" thickBot="1" x14ac:dyDescent="0.25">
      <c r="A85" s="159"/>
      <c r="B85" s="380"/>
      <c r="C85" s="379"/>
      <c r="D85" s="379"/>
      <c r="E85" s="117"/>
      <c r="F85" s="117"/>
      <c r="G85" s="151"/>
      <c r="H85" s="151"/>
      <c r="I85" s="151"/>
      <c r="J85" s="14"/>
    </row>
    <row r="86" spans="1:10" s="567" customFormat="1" ht="30" customHeight="1" thickBot="1" x14ac:dyDescent="0.3">
      <c r="A86" s="565"/>
      <c r="B86" s="388" t="s">
        <v>707</v>
      </c>
      <c r="C86" s="566">
        <f>SUM(C87,C100:C103,C115:C116,C127:C128,C141:C144,C162:C163,C175)</f>
        <v>127407541.26000001</v>
      </c>
      <c r="D86" s="566">
        <f>SUM(D87,D100:D103,D115:D116,D127:D128,D141:D144,D162:D163,D175)</f>
        <v>129890008.34000002</v>
      </c>
      <c r="E86" s="550"/>
      <c r="F86" s="550"/>
      <c r="G86" s="550"/>
      <c r="H86" s="550"/>
      <c r="I86" s="550"/>
      <c r="J86" s="568"/>
    </row>
    <row r="87" spans="1:10" s="3" customFormat="1" ht="30" customHeight="1" x14ac:dyDescent="0.2">
      <c r="A87" s="248">
        <v>2111</v>
      </c>
      <c r="B87" s="137" t="s">
        <v>706</v>
      </c>
      <c r="C87" s="217">
        <f>SUM(C88:C99)</f>
        <v>13681500</v>
      </c>
      <c r="D87" s="217">
        <f>SUM(D88:D99)</f>
        <v>12381500</v>
      </c>
      <c r="E87" s="120"/>
      <c r="F87" s="120"/>
      <c r="G87" s="120"/>
      <c r="H87" s="120"/>
      <c r="I87" s="120"/>
      <c r="J87" s="14"/>
    </row>
    <row r="88" spans="1:10" ht="30" customHeight="1" x14ac:dyDescent="0.2">
      <c r="A88" s="180"/>
      <c r="B88" s="155" t="s">
        <v>705</v>
      </c>
      <c r="C88" s="126">
        <v>0</v>
      </c>
      <c r="D88" s="126">
        <v>0</v>
      </c>
      <c r="E88" s="130"/>
      <c r="F88" s="130"/>
      <c r="G88" s="126"/>
      <c r="H88" s="126"/>
      <c r="I88" s="126"/>
      <c r="J88" s="14"/>
    </row>
    <row r="89" spans="1:10" ht="30" customHeight="1" x14ac:dyDescent="0.2">
      <c r="A89" s="180"/>
      <c r="B89" s="155" t="s">
        <v>704</v>
      </c>
      <c r="C89" s="9">
        <v>1000000</v>
      </c>
      <c r="D89" s="9">
        <v>1000000</v>
      </c>
      <c r="E89" s="127"/>
      <c r="F89" s="127"/>
      <c r="G89" s="126"/>
      <c r="H89" s="126"/>
      <c r="I89" s="126"/>
      <c r="J89" s="14"/>
    </row>
    <row r="90" spans="1:10" s="378" customFormat="1" ht="30" customHeight="1" x14ac:dyDescent="0.2">
      <c r="A90" s="237"/>
      <c r="B90" s="155" t="s">
        <v>703</v>
      </c>
      <c r="C90" s="133">
        <v>720000</v>
      </c>
      <c r="D90" s="133">
        <v>720000</v>
      </c>
      <c r="E90" s="130"/>
      <c r="F90" s="130"/>
      <c r="G90" s="126"/>
      <c r="H90" s="126"/>
      <c r="I90" s="126"/>
      <c r="J90" s="14"/>
    </row>
    <row r="91" spans="1:10" ht="30" customHeight="1" x14ac:dyDescent="0.2">
      <c r="A91" s="237"/>
      <c r="B91" s="155" t="s">
        <v>702</v>
      </c>
      <c r="C91" s="126">
        <v>0</v>
      </c>
      <c r="D91" s="126">
        <v>0</v>
      </c>
      <c r="E91" s="130"/>
      <c r="F91" s="130"/>
      <c r="G91" s="126"/>
      <c r="H91" s="126"/>
      <c r="I91" s="126"/>
      <c r="J91" s="14"/>
    </row>
    <row r="92" spans="1:10" ht="30" customHeight="1" x14ac:dyDescent="0.2">
      <c r="A92" s="237"/>
      <c r="B92" s="155" t="s">
        <v>701</v>
      </c>
      <c r="C92" s="126">
        <v>5200000</v>
      </c>
      <c r="D92" s="126">
        <f>5200000-1000000</f>
        <v>4200000</v>
      </c>
      <c r="E92" s="130"/>
      <c r="F92" s="130"/>
      <c r="G92" s="126"/>
      <c r="H92" s="126"/>
      <c r="I92" s="126"/>
      <c r="J92" s="14"/>
    </row>
    <row r="93" spans="1:10" ht="30" customHeight="1" x14ac:dyDescent="0.2">
      <c r="A93" s="237"/>
      <c r="B93" s="155" t="s">
        <v>700</v>
      </c>
      <c r="C93" s="126">
        <v>1600000</v>
      </c>
      <c r="D93" s="126">
        <f>1600000-300000</f>
        <v>1300000</v>
      </c>
      <c r="E93" s="130"/>
      <c r="F93" s="130"/>
      <c r="G93" s="126"/>
      <c r="H93" s="126"/>
      <c r="I93" s="126"/>
      <c r="J93" s="14"/>
    </row>
    <row r="94" spans="1:10" ht="30" customHeight="1" x14ac:dyDescent="0.2">
      <c r="A94" s="237"/>
      <c r="B94" s="155" t="s">
        <v>699</v>
      </c>
      <c r="C94" s="126">
        <v>2610000</v>
      </c>
      <c r="D94" s="126">
        <v>2610000</v>
      </c>
      <c r="E94" s="10"/>
      <c r="F94" s="10"/>
      <c r="G94" s="126"/>
      <c r="H94" s="126"/>
      <c r="I94" s="126"/>
      <c r="J94" s="14"/>
    </row>
    <row r="95" spans="1:10" ht="30" customHeight="1" x14ac:dyDescent="0.2">
      <c r="A95" s="237"/>
      <c r="B95" s="155" t="s">
        <v>698</v>
      </c>
      <c r="C95" s="578">
        <v>0</v>
      </c>
      <c r="D95" s="578">
        <v>0</v>
      </c>
      <c r="E95" s="46"/>
      <c r="F95" s="46"/>
      <c r="G95" s="126"/>
      <c r="H95" s="126"/>
      <c r="I95" s="126"/>
      <c r="J95" s="14"/>
    </row>
    <row r="96" spans="1:10" ht="30" customHeight="1" x14ac:dyDescent="0.2">
      <c r="A96" s="237"/>
      <c r="B96" s="155" t="s">
        <v>697</v>
      </c>
      <c r="C96" s="130">
        <v>0</v>
      </c>
      <c r="D96" s="130">
        <v>0</v>
      </c>
      <c r="E96" s="130"/>
      <c r="F96" s="130"/>
      <c r="G96" s="126"/>
      <c r="H96" s="126"/>
      <c r="I96" s="126"/>
      <c r="J96" s="14"/>
    </row>
    <row r="97" spans="1:10" ht="30" customHeight="1" x14ac:dyDescent="0.2">
      <c r="A97" s="237"/>
      <c r="B97" s="155" t="s">
        <v>696</v>
      </c>
      <c r="C97" s="126">
        <v>2500000</v>
      </c>
      <c r="D97" s="126">
        <v>2500000</v>
      </c>
      <c r="E97" s="130"/>
      <c r="F97" s="130"/>
      <c r="G97" s="126"/>
      <c r="H97" s="126"/>
      <c r="I97" s="126"/>
      <c r="J97" s="14"/>
    </row>
    <row r="98" spans="1:10" ht="30" customHeight="1" x14ac:dyDescent="0.2">
      <c r="A98" s="237"/>
      <c r="B98" s="155" t="s">
        <v>695</v>
      </c>
      <c r="C98" s="126">
        <v>51000</v>
      </c>
      <c r="D98" s="126">
        <v>51000</v>
      </c>
      <c r="E98" s="130"/>
      <c r="F98" s="130"/>
      <c r="G98" s="126"/>
      <c r="H98" s="126"/>
      <c r="I98" s="126"/>
      <c r="J98" s="14"/>
    </row>
    <row r="99" spans="1:10" ht="30" customHeight="1" x14ac:dyDescent="0.2">
      <c r="A99" s="237"/>
      <c r="B99" s="155" t="s">
        <v>694</v>
      </c>
      <c r="C99" s="126">
        <v>500</v>
      </c>
      <c r="D99" s="126">
        <v>500</v>
      </c>
      <c r="E99" s="130"/>
      <c r="F99" s="130"/>
      <c r="G99" s="126"/>
      <c r="H99" s="126"/>
      <c r="I99" s="126"/>
      <c r="J99" s="6"/>
    </row>
    <row r="100" spans="1:10" s="3" customFormat="1" ht="30" customHeight="1" x14ac:dyDescent="0.2">
      <c r="A100" s="180">
        <v>2119</v>
      </c>
      <c r="B100" s="123" t="s">
        <v>693</v>
      </c>
      <c r="C100" s="120">
        <v>1700000</v>
      </c>
      <c r="D100" s="120">
        <v>1700000</v>
      </c>
      <c r="E100" s="121"/>
      <c r="F100" s="130"/>
      <c r="G100" s="120"/>
      <c r="H100" s="120"/>
      <c r="I100" s="120"/>
      <c r="J100" s="14"/>
    </row>
    <row r="101" spans="1:10" s="3" customFormat="1" ht="30" customHeight="1" x14ac:dyDescent="0.2">
      <c r="A101" s="180">
        <v>2122</v>
      </c>
      <c r="B101" s="123" t="s">
        <v>692</v>
      </c>
      <c r="C101" s="120">
        <v>2798840.36</v>
      </c>
      <c r="D101" s="120">
        <f>2798840.36+(25236+27775+35940)+1380+1155128.5</f>
        <v>4044299.86</v>
      </c>
      <c r="E101" s="121"/>
      <c r="F101" s="121"/>
      <c r="G101" s="120"/>
      <c r="H101" s="120"/>
      <c r="I101" s="120"/>
      <c r="J101" s="14"/>
    </row>
    <row r="102" spans="1:10" s="3" customFormat="1" ht="30" customHeight="1" x14ac:dyDescent="0.2">
      <c r="A102" s="180">
        <v>2131</v>
      </c>
      <c r="B102" s="135" t="s">
        <v>691</v>
      </c>
      <c r="C102" s="120">
        <v>1650000</v>
      </c>
      <c r="D102" s="120">
        <v>1650000</v>
      </c>
      <c r="E102" s="121"/>
      <c r="F102" s="121"/>
      <c r="G102" s="120"/>
      <c r="H102" s="120"/>
      <c r="I102" s="120"/>
      <c r="J102" s="6"/>
    </row>
    <row r="103" spans="1:10" s="3" customFormat="1" ht="30" customHeight="1" x14ac:dyDescent="0.2">
      <c r="A103" s="180">
        <v>2132</v>
      </c>
      <c r="B103" s="123" t="s">
        <v>690</v>
      </c>
      <c r="C103" s="122">
        <f>SUM(C104:C114)</f>
        <v>92969200.900000006</v>
      </c>
      <c r="D103" s="122">
        <f>SUM(D104:D114)</f>
        <v>91392091.900000006</v>
      </c>
      <c r="E103" s="121"/>
      <c r="F103" s="121"/>
      <c r="G103" s="120"/>
      <c r="H103" s="120"/>
      <c r="I103" s="120"/>
      <c r="J103" s="14"/>
    </row>
    <row r="104" spans="1:10" ht="30" customHeight="1" x14ac:dyDescent="0.2">
      <c r="A104" s="237"/>
      <c r="B104" s="155" t="s">
        <v>689</v>
      </c>
      <c r="C104" s="126">
        <v>750000</v>
      </c>
      <c r="D104" s="126">
        <v>750000</v>
      </c>
      <c r="E104" s="130"/>
      <c r="F104" s="130"/>
      <c r="G104" s="126"/>
      <c r="H104" s="126"/>
      <c r="I104" s="126"/>
      <c r="J104" s="14"/>
    </row>
    <row r="105" spans="1:10" ht="30" customHeight="1" x14ac:dyDescent="0.2">
      <c r="A105" s="237"/>
      <c r="B105" s="155" t="s">
        <v>688</v>
      </c>
      <c r="C105" s="126">
        <v>0</v>
      </c>
      <c r="D105" s="126">
        <v>0</v>
      </c>
      <c r="E105" s="130"/>
      <c r="F105" s="130"/>
      <c r="G105" s="126"/>
      <c r="H105" s="126"/>
      <c r="I105" s="126"/>
      <c r="J105" s="6"/>
    </row>
    <row r="106" spans="1:10" ht="30" customHeight="1" x14ac:dyDescent="0.2">
      <c r="A106" s="237"/>
      <c r="B106" s="155" t="s">
        <v>687</v>
      </c>
      <c r="C106" s="126">
        <v>600000</v>
      </c>
      <c r="D106" s="126">
        <v>600000</v>
      </c>
      <c r="E106" s="130"/>
      <c r="F106" s="130"/>
      <c r="G106" s="126"/>
      <c r="H106" s="126"/>
      <c r="I106" s="126"/>
      <c r="J106" s="14"/>
    </row>
    <row r="107" spans="1:10" ht="30" customHeight="1" x14ac:dyDescent="0.2">
      <c r="A107" s="237"/>
      <c r="B107" s="155" t="s">
        <v>686</v>
      </c>
      <c r="C107" s="126">
        <v>276000</v>
      </c>
      <c r="D107" s="126">
        <f>276000-960</f>
        <v>275040</v>
      </c>
      <c r="E107" s="130"/>
      <c r="F107" s="130"/>
      <c r="G107" s="126"/>
      <c r="H107" s="126"/>
      <c r="I107" s="126"/>
      <c r="J107" s="14"/>
    </row>
    <row r="108" spans="1:10" ht="30" customHeight="1" x14ac:dyDescent="0.2">
      <c r="A108" s="237"/>
      <c r="B108" s="128" t="s">
        <v>685</v>
      </c>
      <c r="C108" s="126">
        <v>52865000</v>
      </c>
      <c r="D108" s="126">
        <f>52865000-220825</f>
        <v>52644175</v>
      </c>
      <c r="E108" s="130"/>
      <c r="F108" s="130"/>
      <c r="G108" s="126"/>
      <c r="H108" s="126"/>
      <c r="I108" s="126"/>
      <c r="J108" s="6"/>
    </row>
    <row r="109" spans="1:10" ht="30" customHeight="1" x14ac:dyDescent="0.2">
      <c r="A109" s="237"/>
      <c r="B109" s="155" t="s">
        <v>684</v>
      </c>
      <c r="C109" s="126">
        <f>83405+3+1194792.9</f>
        <v>1278200.8999999999</v>
      </c>
      <c r="D109" s="126">
        <f>83405+3+1194792.9</f>
        <v>1278200.8999999999</v>
      </c>
      <c r="E109" s="130"/>
      <c r="F109" s="130"/>
      <c r="G109" s="126"/>
      <c r="H109" s="126"/>
      <c r="I109" s="126"/>
      <c r="J109" s="14"/>
    </row>
    <row r="110" spans="1:10" ht="30" customHeight="1" x14ac:dyDescent="0.2">
      <c r="A110" s="237"/>
      <c r="B110" s="155" t="s">
        <v>683</v>
      </c>
      <c r="C110" s="126">
        <v>420000</v>
      </c>
      <c r="D110" s="126">
        <v>420000</v>
      </c>
      <c r="E110" s="130"/>
      <c r="F110" s="130"/>
      <c r="G110" s="126"/>
      <c r="H110" s="126"/>
      <c r="I110" s="126"/>
      <c r="J110" s="6"/>
    </row>
    <row r="111" spans="1:10" ht="36.75" customHeight="1" x14ac:dyDescent="0.2">
      <c r="A111" s="237"/>
      <c r="B111" s="166" t="s">
        <v>682</v>
      </c>
      <c r="C111" s="126">
        <f>13500000+3000000+240000+20000+746000+216000+134000</f>
        <v>17856000</v>
      </c>
      <c r="D111" s="126">
        <f>(13500000+3000000+240000+20000+746000+216000+134000)-1355324</f>
        <v>16500676</v>
      </c>
      <c r="E111" s="130"/>
      <c r="F111" s="130"/>
      <c r="G111" s="126"/>
      <c r="H111" s="126"/>
      <c r="I111" s="126"/>
      <c r="J111" s="6"/>
    </row>
    <row r="112" spans="1:10" ht="30" customHeight="1" x14ac:dyDescent="0.2">
      <c r="A112" s="237"/>
      <c r="B112" s="155" t="s">
        <v>681</v>
      </c>
      <c r="C112" s="126">
        <v>18881000</v>
      </c>
      <c r="D112" s="126">
        <v>18881000</v>
      </c>
      <c r="E112" s="130"/>
      <c r="F112" s="130"/>
      <c r="G112" s="126"/>
      <c r="H112" s="126"/>
      <c r="I112" s="126"/>
      <c r="J112" s="14"/>
    </row>
    <row r="113" spans="1:44" ht="30" customHeight="1" x14ac:dyDescent="0.2">
      <c r="A113" s="237"/>
      <c r="B113" s="155" t="s">
        <v>680</v>
      </c>
      <c r="C113" s="126">
        <v>18000</v>
      </c>
      <c r="D113" s="126">
        <v>18000</v>
      </c>
      <c r="E113" s="130"/>
      <c r="F113" s="130"/>
      <c r="G113" s="126"/>
      <c r="H113" s="126"/>
      <c r="I113" s="126"/>
      <c r="J113" s="14"/>
    </row>
    <row r="114" spans="1:44" ht="30" customHeight="1" x14ac:dyDescent="0.2">
      <c r="A114" s="237"/>
      <c r="B114" s="155" t="s">
        <v>679</v>
      </c>
      <c r="C114" s="126">
        <v>25000</v>
      </c>
      <c r="D114" s="126">
        <v>25000</v>
      </c>
      <c r="E114" s="130"/>
      <c r="F114" s="130"/>
      <c r="G114" s="126"/>
      <c r="H114" s="126"/>
      <c r="I114" s="126"/>
      <c r="J114" s="14"/>
    </row>
    <row r="115" spans="1:44" s="3" customFormat="1" ht="30" customHeight="1" x14ac:dyDescent="0.2">
      <c r="A115" s="180">
        <v>2141</v>
      </c>
      <c r="B115" s="123" t="s">
        <v>678</v>
      </c>
      <c r="C115" s="120">
        <v>300000</v>
      </c>
      <c r="D115" s="120">
        <v>300000</v>
      </c>
      <c r="E115" s="121"/>
      <c r="F115" s="121"/>
      <c r="G115" s="120"/>
      <c r="H115" s="120"/>
      <c r="I115" s="120"/>
      <c r="J115" s="14"/>
    </row>
    <row r="116" spans="1:44" s="3" customFormat="1" ht="30" customHeight="1" x14ac:dyDescent="0.2">
      <c r="A116" s="180">
        <v>2212</v>
      </c>
      <c r="B116" s="123" t="s">
        <v>677</v>
      </c>
      <c r="C116" s="122">
        <f>SUM(C117:C126)</f>
        <v>11127000</v>
      </c>
      <c r="D116" s="122">
        <f>SUM(D117:D126)</f>
        <v>11127000</v>
      </c>
      <c r="E116" s="121"/>
      <c r="F116" s="121"/>
      <c r="G116" s="120"/>
      <c r="H116" s="120"/>
      <c r="I116" s="120"/>
      <c r="J116" s="14"/>
    </row>
    <row r="117" spans="1:44" ht="30" customHeight="1" x14ac:dyDescent="0.2">
      <c r="A117" s="237"/>
      <c r="B117" s="155" t="s">
        <v>676</v>
      </c>
      <c r="C117" s="126">
        <v>12000</v>
      </c>
      <c r="D117" s="126">
        <v>12000</v>
      </c>
      <c r="E117" s="130"/>
      <c r="F117" s="130"/>
      <c r="G117" s="126"/>
      <c r="H117" s="126"/>
      <c r="I117" s="126"/>
      <c r="J117" s="14"/>
    </row>
    <row r="118" spans="1:44" ht="30" customHeight="1" x14ac:dyDescent="0.2">
      <c r="A118" s="237"/>
      <c r="B118" s="155" t="s">
        <v>656</v>
      </c>
      <c r="C118" s="126">
        <v>50000</v>
      </c>
      <c r="D118" s="126">
        <v>50000</v>
      </c>
      <c r="E118" s="130"/>
      <c r="F118" s="130"/>
      <c r="G118" s="126"/>
      <c r="H118" s="126"/>
      <c r="I118" s="126"/>
      <c r="J118" s="14"/>
    </row>
    <row r="119" spans="1:44" ht="30" customHeight="1" x14ac:dyDescent="0.2">
      <c r="A119" s="237"/>
      <c r="B119" s="155" t="s">
        <v>675</v>
      </c>
      <c r="C119" s="126">
        <v>2000000</v>
      </c>
      <c r="D119" s="126">
        <v>2000000</v>
      </c>
      <c r="E119" s="130"/>
      <c r="F119" s="130"/>
      <c r="G119" s="126"/>
      <c r="H119" s="126"/>
      <c r="I119" s="126"/>
      <c r="J119" s="14"/>
    </row>
    <row r="120" spans="1:44" ht="30" customHeight="1" x14ac:dyDescent="0.2">
      <c r="A120" s="237"/>
      <c r="B120" s="155" t="s">
        <v>674</v>
      </c>
      <c r="C120" s="126">
        <v>8000000</v>
      </c>
      <c r="D120" s="126">
        <v>8000000</v>
      </c>
      <c r="E120" s="130"/>
      <c r="F120" s="130"/>
      <c r="G120" s="126"/>
      <c r="H120" s="126"/>
      <c r="I120" s="126"/>
      <c r="J120" s="14"/>
    </row>
    <row r="121" spans="1:44" ht="30" customHeight="1" x14ac:dyDescent="0.2">
      <c r="A121" s="237"/>
      <c r="B121" s="155" t="s">
        <v>673</v>
      </c>
      <c r="C121" s="126">
        <v>0</v>
      </c>
      <c r="D121" s="126">
        <v>0</v>
      </c>
      <c r="E121" s="130"/>
      <c r="F121" s="130"/>
      <c r="G121" s="126"/>
      <c r="H121" s="126"/>
      <c r="I121" s="126"/>
      <c r="J121" s="14"/>
    </row>
    <row r="122" spans="1:44" ht="30" customHeight="1" x14ac:dyDescent="0.2">
      <c r="A122" s="237"/>
      <c r="B122" s="155" t="s">
        <v>672</v>
      </c>
      <c r="C122" s="126">
        <v>0</v>
      </c>
      <c r="D122" s="126">
        <v>0</v>
      </c>
      <c r="E122" s="130"/>
      <c r="F122" s="130"/>
      <c r="G122" s="126"/>
      <c r="H122" s="126"/>
      <c r="I122" s="126"/>
      <c r="J122" s="14"/>
    </row>
    <row r="123" spans="1:44" ht="30" customHeight="1" x14ac:dyDescent="0.2">
      <c r="A123" s="237"/>
      <c r="B123" s="155" t="s">
        <v>671</v>
      </c>
      <c r="C123" s="9">
        <v>0</v>
      </c>
      <c r="D123" s="9">
        <v>0</v>
      </c>
      <c r="E123" s="130"/>
      <c r="F123" s="130"/>
      <c r="G123" s="126"/>
      <c r="H123" s="126"/>
      <c r="I123" s="126"/>
      <c r="J123" s="14"/>
    </row>
    <row r="124" spans="1:44" ht="30" customHeight="1" x14ac:dyDescent="0.2">
      <c r="A124" s="237"/>
      <c r="B124" s="155" t="s">
        <v>670</v>
      </c>
      <c r="C124" s="126">
        <v>650000</v>
      </c>
      <c r="D124" s="126">
        <v>650000</v>
      </c>
      <c r="E124" s="130"/>
      <c r="F124" s="130"/>
      <c r="G124" s="126"/>
      <c r="H124" s="126"/>
      <c r="I124" s="126"/>
      <c r="J124" s="14"/>
    </row>
    <row r="125" spans="1:44" ht="30" customHeight="1" x14ac:dyDescent="0.2">
      <c r="A125" s="237"/>
      <c r="B125" s="155" t="s">
        <v>669</v>
      </c>
      <c r="C125" s="126">
        <v>350000</v>
      </c>
      <c r="D125" s="126">
        <v>350000</v>
      </c>
      <c r="E125" s="130"/>
      <c r="F125" s="130"/>
      <c r="G125" s="126"/>
      <c r="H125" s="126"/>
      <c r="I125" s="126"/>
      <c r="J125" s="14"/>
    </row>
    <row r="126" spans="1:44" s="377" customFormat="1" ht="30" customHeight="1" x14ac:dyDescent="0.2">
      <c r="A126" s="16"/>
      <c r="B126" s="15" t="s">
        <v>668</v>
      </c>
      <c r="C126" s="9">
        <v>65000</v>
      </c>
      <c r="D126" s="9">
        <v>65000</v>
      </c>
      <c r="E126" s="130"/>
      <c r="F126" s="130"/>
      <c r="G126" s="126"/>
      <c r="H126" s="126"/>
      <c r="I126" s="126"/>
      <c r="J126" s="14"/>
      <c r="K126" s="375"/>
      <c r="L126" s="375"/>
      <c r="M126" s="375"/>
      <c r="N126" s="375"/>
      <c r="O126" s="375"/>
      <c r="P126" s="375"/>
      <c r="Q126" s="375"/>
      <c r="R126" s="375"/>
      <c r="S126" s="375"/>
      <c r="T126" s="375"/>
      <c r="U126" s="375"/>
      <c r="V126" s="375"/>
      <c r="W126" s="375"/>
      <c r="X126" s="375"/>
      <c r="Y126" s="375"/>
      <c r="Z126" s="375"/>
      <c r="AA126" s="375"/>
      <c r="AB126" s="375"/>
      <c r="AC126" s="375"/>
      <c r="AD126" s="375"/>
      <c r="AE126" s="375"/>
      <c r="AF126" s="375"/>
      <c r="AG126" s="375"/>
      <c r="AH126" s="375"/>
      <c r="AI126" s="375"/>
      <c r="AJ126" s="375"/>
      <c r="AK126" s="375"/>
      <c r="AL126" s="375"/>
      <c r="AM126" s="375"/>
      <c r="AN126" s="375"/>
      <c r="AO126" s="375"/>
      <c r="AP126" s="375"/>
      <c r="AQ126" s="375"/>
      <c r="AR126" s="375"/>
    </row>
    <row r="127" spans="1:44" s="3" customFormat="1" ht="30" customHeight="1" x14ac:dyDescent="0.2">
      <c r="A127" s="180">
        <v>2222</v>
      </c>
      <c r="B127" s="123" t="s">
        <v>905</v>
      </c>
      <c r="C127" s="120">
        <v>0</v>
      </c>
      <c r="D127" s="120">
        <v>84689.93</v>
      </c>
      <c r="E127" s="121"/>
      <c r="F127" s="121"/>
      <c r="G127" s="120"/>
      <c r="H127" s="126"/>
      <c r="I127" s="120"/>
      <c r="J127" s="14"/>
    </row>
    <row r="128" spans="1:44" s="375" customFormat="1" ht="30" customHeight="1" x14ac:dyDescent="0.2">
      <c r="A128" s="20">
        <v>2229</v>
      </c>
      <c r="B128" s="19" t="s">
        <v>667</v>
      </c>
      <c r="C128" s="25">
        <f>SUM(C129:C140)</f>
        <v>0</v>
      </c>
      <c r="D128" s="25">
        <f>SUM(D129:D140)</f>
        <v>3954544.6500000004</v>
      </c>
      <c r="E128" s="121"/>
      <c r="F128" s="121"/>
      <c r="G128" s="120"/>
      <c r="H128" s="126"/>
      <c r="I128" s="120"/>
      <c r="J128" s="14"/>
      <c r="K128" s="376"/>
    </row>
    <row r="129" spans="1:11" s="375" customFormat="1" ht="30" customHeight="1" x14ac:dyDescent="0.2">
      <c r="A129" s="15"/>
      <c r="B129" s="15" t="s">
        <v>875</v>
      </c>
      <c r="C129" s="126">
        <v>0</v>
      </c>
      <c r="D129" s="126">
        <f>(65834.23+140191.92)</f>
        <v>206026.15000000002</v>
      </c>
      <c r="E129" s="10"/>
      <c r="F129" s="10"/>
      <c r="G129" s="126"/>
      <c r="H129" s="126"/>
      <c r="I129" s="126"/>
      <c r="J129" s="351"/>
      <c r="K129" s="376"/>
    </row>
    <row r="130" spans="1:11" s="375" customFormat="1" ht="30" customHeight="1" x14ac:dyDescent="0.2">
      <c r="A130" s="15"/>
      <c r="B130" s="15" t="s">
        <v>666</v>
      </c>
      <c r="C130" s="126">
        <v>0</v>
      </c>
      <c r="D130" s="126">
        <v>0</v>
      </c>
      <c r="E130" s="371"/>
      <c r="F130" s="370"/>
      <c r="G130" s="126"/>
      <c r="H130" s="126"/>
      <c r="I130" s="126"/>
      <c r="J130" s="351"/>
      <c r="K130" s="376"/>
    </row>
    <row r="131" spans="1:11" ht="30" customHeight="1" x14ac:dyDescent="0.2">
      <c r="A131" s="185"/>
      <c r="B131" s="185" t="s">
        <v>665</v>
      </c>
      <c r="C131" s="126">
        <v>0</v>
      </c>
      <c r="D131" s="126">
        <v>0</v>
      </c>
      <c r="E131" s="371"/>
      <c r="F131" s="370"/>
      <c r="G131" s="126"/>
      <c r="H131" s="126"/>
      <c r="I131" s="126"/>
      <c r="J131" s="351"/>
      <c r="K131" s="341"/>
    </row>
    <row r="132" spans="1:11" s="375" customFormat="1" ht="30" customHeight="1" x14ac:dyDescent="0.2">
      <c r="A132" s="15"/>
      <c r="B132" s="15" t="s">
        <v>876</v>
      </c>
      <c r="C132" s="126">
        <v>0</v>
      </c>
      <c r="D132" s="126">
        <f>(308971.67+25523.77+77151.21+30113.25)</f>
        <v>441759.9</v>
      </c>
      <c r="E132" s="371"/>
      <c r="F132" s="370"/>
      <c r="G132" s="126"/>
      <c r="H132" s="126"/>
      <c r="I132" s="126"/>
      <c r="J132" s="351"/>
      <c r="K132" s="376"/>
    </row>
    <row r="133" spans="1:11" s="375" customFormat="1" ht="30" customHeight="1" x14ac:dyDescent="0.2">
      <c r="A133" s="15"/>
      <c r="B133" s="15" t="s">
        <v>922</v>
      </c>
      <c r="C133" s="126">
        <v>0</v>
      </c>
      <c r="D133" s="126">
        <v>16912</v>
      </c>
      <c r="E133" s="368"/>
      <c r="F133" s="294"/>
      <c r="G133" s="126"/>
      <c r="H133" s="126"/>
      <c r="I133" s="126"/>
      <c r="J133" s="296"/>
      <c r="K133" s="376"/>
    </row>
    <row r="134" spans="1:11" s="375" customFormat="1" ht="30" customHeight="1" x14ac:dyDescent="0.2">
      <c r="A134" s="15"/>
      <c r="B134" s="15" t="s">
        <v>877</v>
      </c>
      <c r="C134" s="126">
        <v>0</v>
      </c>
      <c r="D134" s="126">
        <v>58335.59</v>
      </c>
      <c r="E134" s="371"/>
      <c r="F134" s="370"/>
      <c r="G134" s="126"/>
      <c r="H134" s="126"/>
      <c r="I134" s="126"/>
      <c r="J134" s="351"/>
      <c r="K134" s="376"/>
    </row>
    <row r="135" spans="1:11" s="375" customFormat="1" ht="30" customHeight="1" x14ac:dyDescent="0.2">
      <c r="A135" s="15"/>
      <c r="B135" s="15" t="s">
        <v>878</v>
      </c>
      <c r="C135" s="126">
        <v>0</v>
      </c>
      <c r="D135" s="126">
        <v>92743.77</v>
      </c>
      <c r="E135" s="371"/>
      <c r="F135" s="370"/>
      <c r="G135" s="126"/>
      <c r="H135" s="126"/>
      <c r="I135" s="126"/>
      <c r="J135" s="351"/>
      <c r="K135" s="376"/>
    </row>
    <row r="136" spans="1:11" s="375" customFormat="1" ht="30" customHeight="1" x14ac:dyDescent="0.2">
      <c r="A136" s="15"/>
      <c r="B136" s="15" t="s">
        <v>879</v>
      </c>
      <c r="C136" s="126">
        <v>0</v>
      </c>
      <c r="D136" s="126">
        <v>250414</v>
      </c>
      <c r="E136" s="371"/>
      <c r="F136" s="370"/>
      <c r="G136" s="126"/>
      <c r="H136" s="126"/>
      <c r="I136" s="126"/>
      <c r="J136" s="351"/>
      <c r="K136" s="376"/>
    </row>
    <row r="137" spans="1:11" ht="30" customHeight="1" x14ac:dyDescent="0.2">
      <c r="A137" s="185"/>
      <c r="B137" s="185" t="s">
        <v>882</v>
      </c>
      <c r="C137" s="126">
        <v>0</v>
      </c>
      <c r="D137" s="126">
        <v>2888353.24</v>
      </c>
      <c r="E137" s="371"/>
      <c r="F137" s="370"/>
      <c r="G137" s="126"/>
      <c r="H137" s="126"/>
      <c r="I137" s="126"/>
      <c r="J137" s="351"/>
      <c r="K137" s="341"/>
    </row>
    <row r="138" spans="1:11" ht="30" customHeight="1" x14ac:dyDescent="0.2">
      <c r="A138" s="185"/>
      <c r="B138" s="185" t="s">
        <v>664</v>
      </c>
      <c r="C138" s="126">
        <v>0</v>
      </c>
      <c r="D138" s="126">
        <v>0</v>
      </c>
      <c r="E138" s="371"/>
      <c r="F138" s="370"/>
      <c r="G138" s="126"/>
      <c r="H138" s="126"/>
      <c r="I138" s="126"/>
      <c r="J138" s="351"/>
      <c r="K138" s="341"/>
    </row>
    <row r="139" spans="1:11" ht="30" customHeight="1" x14ac:dyDescent="0.2">
      <c r="A139" s="185"/>
      <c r="B139" s="185" t="s">
        <v>663</v>
      </c>
      <c r="C139" s="126">
        <v>0</v>
      </c>
      <c r="D139" s="126">
        <v>0</v>
      </c>
      <c r="E139" s="371"/>
      <c r="F139" s="370"/>
      <c r="G139" s="126"/>
      <c r="H139" s="126"/>
      <c r="I139" s="126"/>
      <c r="J139" s="351"/>
      <c r="K139" s="341"/>
    </row>
    <row r="140" spans="1:11" ht="30" customHeight="1" x14ac:dyDescent="0.2">
      <c r="A140" s="185"/>
      <c r="B140" s="185" t="s">
        <v>662</v>
      </c>
      <c r="C140" s="126">
        <v>0</v>
      </c>
      <c r="D140" s="126">
        <v>0</v>
      </c>
      <c r="E140" s="371"/>
      <c r="F140" s="370"/>
      <c r="G140" s="126"/>
      <c r="H140" s="126"/>
      <c r="I140" s="126"/>
      <c r="J140" s="351"/>
      <c r="K140" s="341"/>
    </row>
    <row r="141" spans="1:11" ht="30" customHeight="1" x14ac:dyDescent="0.2">
      <c r="A141" s="180">
        <v>2310</v>
      </c>
      <c r="B141" s="123" t="s">
        <v>661</v>
      </c>
      <c r="C141" s="120">
        <v>0</v>
      </c>
      <c r="D141" s="120">
        <f>49000</f>
        <v>49000</v>
      </c>
      <c r="E141" s="533"/>
      <c r="F141" s="533"/>
      <c r="G141" s="120"/>
      <c r="H141" s="120"/>
      <c r="I141" s="120"/>
      <c r="J141" s="351"/>
    </row>
    <row r="142" spans="1:11" ht="30" customHeight="1" x14ac:dyDescent="0.2">
      <c r="A142" s="180">
        <v>2321</v>
      </c>
      <c r="B142" s="123" t="s">
        <v>660</v>
      </c>
      <c r="C142" s="120">
        <v>150000</v>
      </c>
      <c r="D142" s="120">
        <f>150000-100000-50000+150000</f>
        <v>150000</v>
      </c>
      <c r="E142" s="481"/>
      <c r="F142" s="481"/>
      <c r="G142" s="120"/>
      <c r="H142" s="120"/>
      <c r="I142" s="120"/>
      <c r="J142" s="296"/>
    </row>
    <row r="143" spans="1:11" ht="30" customHeight="1" x14ac:dyDescent="0.2">
      <c r="A143" s="180">
        <v>2322</v>
      </c>
      <c r="B143" s="123" t="s">
        <v>659</v>
      </c>
      <c r="C143" s="120">
        <v>0</v>
      </c>
      <c r="D143" s="120">
        <f>8732+15883</f>
        <v>24615</v>
      </c>
      <c r="E143" s="481"/>
      <c r="F143" s="481"/>
      <c r="G143" s="120"/>
      <c r="H143" s="120"/>
      <c r="I143" s="120"/>
      <c r="J143" s="296"/>
    </row>
    <row r="144" spans="1:11" s="3" customFormat="1" ht="30" customHeight="1" x14ac:dyDescent="0.2">
      <c r="A144" s="180">
        <v>2324</v>
      </c>
      <c r="B144" s="123" t="s">
        <v>658</v>
      </c>
      <c r="C144" s="122">
        <f>SUM(C145:C161)</f>
        <v>2671000</v>
      </c>
      <c r="D144" s="122">
        <f>SUM(D145:D161)</f>
        <v>2672267</v>
      </c>
      <c r="E144" s="481"/>
      <c r="F144" s="481"/>
      <c r="G144" s="120"/>
      <c r="H144" s="120"/>
      <c r="I144" s="120"/>
      <c r="J144" s="296"/>
    </row>
    <row r="145" spans="1:10" s="3" customFormat="1" ht="30" customHeight="1" x14ac:dyDescent="0.2">
      <c r="A145" s="180"/>
      <c r="B145" s="665" t="s">
        <v>906</v>
      </c>
      <c r="C145" s="126">
        <v>0</v>
      </c>
      <c r="D145" s="126">
        <v>1267</v>
      </c>
      <c r="E145" s="368"/>
      <c r="F145" s="294"/>
      <c r="G145" s="126"/>
      <c r="H145" s="126"/>
      <c r="I145" s="126"/>
      <c r="J145" s="296"/>
    </row>
    <row r="146" spans="1:10" s="3" customFormat="1" ht="30" customHeight="1" x14ac:dyDescent="0.2">
      <c r="A146" s="180"/>
      <c r="B146" s="131" t="s">
        <v>657</v>
      </c>
      <c r="C146" s="126">
        <v>8000</v>
      </c>
      <c r="D146" s="126">
        <v>8000</v>
      </c>
      <c r="E146" s="368"/>
      <c r="F146" s="294"/>
      <c r="G146" s="126"/>
      <c r="H146" s="126"/>
      <c r="I146" s="126"/>
      <c r="J146" s="296"/>
    </row>
    <row r="147" spans="1:10" s="3" customFormat="1" ht="30" customHeight="1" x14ac:dyDescent="0.2">
      <c r="A147" s="180"/>
      <c r="B147" s="131" t="s">
        <v>656</v>
      </c>
      <c r="C147" s="126">
        <v>30000</v>
      </c>
      <c r="D147" s="126">
        <v>30000</v>
      </c>
      <c r="E147" s="130"/>
      <c r="F147" s="515"/>
      <c r="G147" s="126"/>
      <c r="H147" s="126"/>
      <c r="I147" s="126"/>
      <c r="J147" s="14"/>
    </row>
    <row r="148" spans="1:10" s="3" customFormat="1" ht="30" customHeight="1" x14ac:dyDescent="0.2">
      <c r="A148" s="180"/>
      <c r="B148" s="131" t="s">
        <v>655</v>
      </c>
      <c r="C148" s="126">
        <v>250000</v>
      </c>
      <c r="D148" s="126">
        <v>250000</v>
      </c>
      <c r="E148" s="130"/>
      <c r="F148" s="515"/>
      <c r="G148" s="126"/>
      <c r="H148" s="126"/>
      <c r="I148" s="126"/>
      <c r="J148" s="14"/>
    </row>
    <row r="149" spans="1:10" s="3" customFormat="1" ht="30" customHeight="1" x14ac:dyDescent="0.2">
      <c r="A149" s="180"/>
      <c r="B149" s="131" t="s">
        <v>654</v>
      </c>
      <c r="C149" s="126">
        <v>200000</v>
      </c>
      <c r="D149" s="126">
        <v>200000</v>
      </c>
      <c r="E149" s="130"/>
      <c r="F149" s="130"/>
      <c r="G149" s="126"/>
      <c r="H149" s="126"/>
      <c r="I149" s="126"/>
      <c r="J149" s="14"/>
    </row>
    <row r="150" spans="1:10" s="3" customFormat="1" ht="30" customHeight="1" x14ac:dyDescent="0.2">
      <c r="A150" s="180"/>
      <c r="B150" s="131" t="s">
        <v>653</v>
      </c>
      <c r="C150" s="126">
        <v>10000</v>
      </c>
      <c r="D150" s="126">
        <v>10000</v>
      </c>
      <c r="E150" s="130"/>
      <c r="F150" s="130"/>
      <c r="G150" s="126"/>
      <c r="H150" s="126"/>
      <c r="I150" s="126"/>
      <c r="J150" s="14"/>
    </row>
    <row r="151" spans="1:10" ht="30" customHeight="1" x14ac:dyDescent="0.2">
      <c r="A151" s="373"/>
      <c r="B151" s="372" t="s">
        <v>652</v>
      </c>
      <c r="C151" s="126">
        <v>0</v>
      </c>
      <c r="D151" s="126">
        <v>0</v>
      </c>
      <c r="E151" s="368"/>
      <c r="F151" s="294"/>
      <c r="G151" s="126"/>
      <c r="H151" s="126"/>
      <c r="I151" s="126"/>
      <c r="J151" s="296"/>
    </row>
    <row r="152" spans="1:10" ht="30" customHeight="1" x14ac:dyDescent="0.2">
      <c r="A152" s="373"/>
      <c r="B152" s="372" t="s">
        <v>651</v>
      </c>
      <c r="C152" s="126">
        <v>0</v>
      </c>
      <c r="D152" s="126">
        <v>0</v>
      </c>
      <c r="E152" s="130"/>
      <c r="F152" s="130"/>
      <c r="G152" s="126"/>
      <c r="H152" s="126"/>
      <c r="I152" s="126"/>
      <c r="J152" s="14"/>
    </row>
    <row r="153" spans="1:10" ht="30" customHeight="1" x14ac:dyDescent="0.2">
      <c r="A153" s="373"/>
      <c r="B153" s="372" t="s">
        <v>650</v>
      </c>
      <c r="C153" s="126">
        <v>50000</v>
      </c>
      <c r="D153" s="126">
        <v>50000</v>
      </c>
      <c r="E153" s="130"/>
      <c r="F153" s="130"/>
      <c r="G153" s="126"/>
      <c r="H153" s="126"/>
      <c r="I153" s="126"/>
      <c r="J153" s="14"/>
    </row>
    <row r="154" spans="1:10" s="144" customFormat="1" ht="30" customHeight="1" x14ac:dyDescent="0.2">
      <c r="A154" s="237"/>
      <c r="B154" s="155" t="s">
        <v>649</v>
      </c>
      <c r="C154" s="9">
        <v>2000000</v>
      </c>
      <c r="D154" s="9">
        <v>2000000</v>
      </c>
      <c r="E154" s="374"/>
      <c r="F154" s="374"/>
      <c r="G154" s="126"/>
      <c r="H154" s="126"/>
      <c r="I154" s="126"/>
      <c r="J154" s="14"/>
    </row>
    <row r="155" spans="1:10" s="144" customFormat="1" ht="30" customHeight="1" x14ac:dyDescent="0.2">
      <c r="A155" s="237"/>
      <c r="B155" s="155" t="s">
        <v>648</v>
      </c>
      <c r="C155" s="9">
        <v>0</v>
      </c>
      <c r="D155" s="9">
        <v>0</v>
      </c>
      <c r="E155" s="130"/>
      <c r="F155" s="130"/>
      <c r="G155" s="126"/>
      <c r="H155" s="126"/>
      <c r="I155" s="126"/>
      <c r="J155" s="296"/>
    </row>
    <row r="156" spans="1:10" s="144" customFormat="1" ht="30" customHeight="1" x14ac:dyDescent="0.2">
      <c r="A156" s="237"/>
      <c r="B156" s="155" t="s">
        <v>647</v>
      </c>
      <c r="C156" s="126">
        <v>0</v>
      </c>
      <c r="D156" s="126">
        <v>0</v>
      </c>
      <c r="E156" s="368"/>
      <c r="F156" s="294"/>
      <c r="G156" s="126"/>
      <c r="H156" s="126"/>
      <c r="I156" s="126"/>
      <c r="J156" s="296"/>
    </row>
    <row r="157" spans="1:10" s="144" customFormat="1" ht="30" customHeight="1" x14ac:dyDescent="0.2">
      <c r="A157" s="237"/>
      <c r="B157" s="155" t="s">
        <v>646</v>
      </c>
      <c r="C157" s="126">
        <v>3000</v>
      </c>
      <c r="D157" s="126">
        <v>3000</v>
      </c>
      <c r="E157" s="368"/>
      <c r="F157" s="294"/>
      <c r="G157" s="126"/>
      <c r="H157" s="126"/>
      <c r="I157" s="126"/>
      <c r="J157" s="296"/>
    </row>
    <row r="158" spans="1:10" s="144" customFormat="1" ht="30" customHeight="1" x14ac:dyDescent="0.2">
      <c r="A158" s="237"/>
      <c r="B158" s="155" t="s">
        <v>645</v>
      </c>
      <c r="C158" s="126">
        <v>70000</v>
      </c>
      <c r="D158" s="126">
        <v>70000</v>
      </c>
      <c r="E158" s="368"/>
      <c r="F158" s="294"/>
      <c r="G158" s="126"/>
      <c r="H158" s="126"/>
      <c r="I158" s="126"/>
      <c r="J158" s="296"/>
    </row>
    <row r="159" spans="1:10" s="144" customFormat="1" ht="30" customHeight="1" x14ac:dyDescent="0.2">
      <c r="A159" s="237"/>
      <c r="B159" s="155" t="s">
        <v>644</v>
      </c>
      <c r="C159" s="126">
        <v>0</v>
      </c>
      <c r="D159" s="126">
        <v>0</v>
      </c>
      <c r="E159" s="368"/>
      <c r="F159" s="294"/>
      <c r="G159" s="126"/>
      <c r="H159" s="126"/>
      <c r="I159" s="126"/>
      <c r="J159" s="296"/>
    </row>
    <row r="160" spans="1:10" s="144" customFormat="1" ht="30" customHeight="1" x14ac:dyDescent="0.2">
      <c r="A160" s="237"/>
      <c r="B160" s="155" t="s">
        <v>643</v>
      </c>
      <c r="C160" s="126">
        <v>50000</v>
      </c>
      <c r="D160" s="126">
        <v>50000</v>
      </c>
      <c r="E160" s="368"/>
      <c r="F160" s="294"/>
      <c r="G160" s="126"/>
      <c r="H160" s="126"/>
      <c r="I160" s="126"/>
      <c r="J160" s="296"/>
    </row>
    <row r="161" spans="1:11" s="144" customFormat="1" ht="30" customHeight="1" x14ac:dyDescent="0.2">
      <c r="A161" s="237"/>
      <c r="B161" s="155" t="s">
        <v>642</v>
      </c>
      <c r="C161" s="9">
        <v>0</v>
      </c>
      <c r="D161" s="9">
        <v>0</v>
      </c>
      <c r="E161" s="368"/>
      <c r="F161" s="294"/>
      <c r="G161" s="126"/>
      <c r="H161" s="126"/>
      <c r="I161" s="126"/>
      <c r="J161" s="296"/>
    </row>
    <row r="162" spans="1:11" ht="30" customHeight="1" x14ac:dyDescent="0.2">
      <c r="A162" s="180">
        <v>2328</v>
      </c>
      <c r="B162" s="123" t="s">
        <v>641</v>
      </c>
      <c r="C162" s="120">
        <v>0</v>
      </c>
      <c r="D162" s="120">
        <v>0</v>
      </c>
      <c r="E162" s="481"/>
      <c r="F162" s="481"/>
      <c r="G162" s="120"/>
      <c r="H162" s="120"/>
      <c r="I162" s="120"/>
      <c r="J162" s="296"/>
    </row>
    <row r="163" spans="1:11" s="3" customFormat="1" ht="30" customHeight="1" x14ac:dyDescent="0.2">
      <c r="A163" s="180">
        <v>2329</v>
      </c>
      <c r="B163" s="123" t="s">
        <v>640</v>
      </c>
      <c r="C163" s="122">
        <f>SUM(C164:C174)</f>
        <v>360000</v>
      </c>
      <c r="D163" s="122">
        <f>SUM(D164:D174)</f>
        <v>360000</v>
      </c>
      <c r="E163" s="481"/>
      <c r="F163" s="481"/>
      <c r="G163" s="120"/>
      <c r="H163" s="120"/>
      <c r="I163" s="120"/>
      <c r="J163" s="296"/>
    </row>
    <row r="164" spans="1:11" s="3" customFormat="1" ht="30" customHeight="1" x14ac:dyDescent="0.2">
      <c r="A164" s="124"/>
      <c r="B164" s="369" t="s">
        <v>639</v>
      </c>
      <c r="C164" s="126">
        <v>0</v>
      </c>
      <c r="D164" s="126">
        <v>0</v>
      </c>
      <c r="E164" s="368"/>
      <c r="F164" s="294"/>
      <c r="G164" s="126"/>
      <c r="H164" s="126"/>
      <c r="I164" s="126"/>
      <c r="J164" s="296"/>
      <c r="K164" s="341"/>
    </row>
    <row r="165" spans="1:11" ht="30" customHeight="1" x14ac:dyDescent="0.2">
      <c r="A165" s="237"/>
      <c r="B165" s="155" t="s">
        <v>638</v>
      </c>
      <c r="C165" s="126">
        <v>0</v>
      </c>
      <c r="D165" s="126">
        <v>0</v>
      </c>
      <c r="E165" s="368"/>
      <c r="F165" s="294"/>
      <c r="G165" s="126"/>
      <c r="H165" s="126"/>
      <c r="I165" s="126"/>
      <c r="J165" s="296"/>
    </row>
    <row r="166" spans="1:11" ht="30" customHeight="1" x14ac:dyDescent="0.2">
      <c r="A166" s="237"/>
      <c r="B166" s="155" t="s">
        <v>637</v>
      </c>
      <c r="C166" s="126">
        <v>0</v>
      </c>
      <c r="D166" s="126">
        <v>0</v>
      </c>
      <c r="E166" s="368"/>
      <c r="F166" s="294"/>
      <c r="G166" s="126"/>
      <c r="H166" s="126"/>
      <c r="I166" s="126"/>
      <c r="J166" s="296"/>
    </row>
    <row r="167" spans="1:11" ht="30" customHeight="1" x14ac:dyDescent="0.2">
      <c r="A167" s="237"/>
      <c r="B167" s="155" t="s">
        <v>636</v>
      </c>
      <c r="C167" s="126">
        <v>0</v>
      </c>
      <c r="D167" s="126">
        <v>0</v>
      </c>
      <c r="E167" s="130"/>
      <c r="F167" s="130"/>
      <c r="G167" s="126"/>
      <c r="H167" s="126"/>
      <c r="I167" s="126"/>
      <c r="J167" s="14"/>
    </row>
    <row r="168" spans="1:11" ht="30" customHeight="1" x14ac:dyDescent="0.2">
      <c r="A168" s="237"/>
      <c r="B168" s="155" t="s">
        <v>635</v>
      </c>
      <c r="C168" s="126">
        <v>270000</v>
      </c>
      <c r="D168" s="126">
        <v>270000</v>
      </c>
      <c r="E168" s="294"/>
      <c r="F168" s="14"/>
      <c r="G168" s="126"/>
      <c r="H168" s="126"/>
      <c r="I168" s="126"/>
      <c r="J168" s="296"/>
    </row>
    <row r="169" spans="1:11" ht="30" customHeight="1" x14ac:dyDescent="0.2">
      <c r="A169" s="237"/>
      <c r="B169" s="155" t="s">
        <v>634</v>
      </c>
      <c r="C169" s="126">
        <v>50000</v>
      </c>
      <c r="D169" s="126">
        <v>50000</v>
      </c>
      <c r="E169" s="130"/>
      <c r="F169" s="130"/>
      <c r="G169" s="126"/>
      <c r="H169" s="126"/>
      <c r="I169" s="126"/>
      <c r="J169" s="14"/>
    </row>
    <row r="170" spans="1:11" ht="30" customHeight="1" x14ac:dyDescent="0.2">
      <c r="A170" s="237"/>
      <c r="B170" s="155" t="s">
        <v>633</v>
      </c>
      <c r="C170" s="126">
        <v>40000</v>
      </c>
      <c r="D170" s="126">
        <v>40000</v>
      </c>
      <c r="E170" s="368"/>
      <c r="F170" s="294"/>
      <c r="G170" s="126"/>
      <c r="H170" s="126"/>
      <c r="I170" s="126"/>
      <c r="J170" s="296"/>
    </row>
    <row r="171" spans="1:11" ht="30" customHeight="1" x14ac:dyDescent="0.2">
      <c r="A171" s="237"/>
      <c r="B171" s="155" t="s">
        <v>632</v>
      </c>
      <c r="C171" s="126">
        <v>0</v>
      </c>
      <c r="D171" s="126">
        <v>0</v>
      </c>
      <c r="E171" s="368"/>
      <c r="F171" s="294"/>
      <c r="G171" s="126"/>
      <c r="H171" s="126"/>
      <c r="I171" s="126"/>
      <c r="J171" s="296"/>
    </row>
    <row r="172" spans="1:11" ht="30" customHeight="1" x14ac:dyDescent="0.2">
      <c r="A172" s="237"/>
      <c r="B172" s="155" t="s">
        <v>631</v>
      </c>
      <c r="C172" s="126">
        <v>0</v>
      </c>
      <c r="D172" s="126">
        <v>0</v>
      </c>
      <c r="E172" s="368"/>
      <c r="F172" s="294"/>
      <c r="G172" s="126"/>
      <c r="H172" s="126"/>
      <c r="I172" s="126"/>
      <c r="J172" s="296"/>
    </row>
    <row r="173" spans="1:11" ht="30" customHeight="1" x14ac:dyDescent="0.2">
      <c r="A173" s="237"/>
      <c r="B173" s="155" t="s">
        <v>630</v>
      </c>
      <c r="C173" s="126">
        <v>0</v>
      </c>
      <c r="D173" s="126">
        <v>0</v>
      </c>
      <c r="E173" s="368"/>
      <c r="F173" s="294"/>
      <c r="G173" s="126"/>
      <c r="H173" s="126"/>
      <c r="I173" s="126"/>
      <c r="J173" s="296"/>
    </row>
    <row r="174" spans="1:11" ht="30" customHeight="1" x14ac:dyDescent="0.2">
      <c r="A174" s="237"/>
      <c r="B174" s="155" t="s">
        <v>629</v>
      </c>
      <c r="C174" s="126">
        <v>0</v>
      </c>
      <c r="D174" s="126">
        <v>0</v>
      </c>
      <c r="E174" s="368"/>
      <c r="F174" s="297"/>
      <c r="G174" s="126"/>
      <c r="H174" s="126"/>
      <c r="I174" s="126"/>
      <c r="J174" s="351"/>
    </row>
    <row r="175" spans="1:11" ht="30" customHeight="1" x14ac:dyDescent="0.2">
      <c r="A175" s="180">
        <v>2411</v>
      </c>
      <c r="B175" s="135" t="s">
        <v>628</v>
      </c>
      <c r="C175" s="120">
        <v>0</v>
      </c>
      <c r="D175" s="120">
        <v>0</v>
      </c>
      <c r="E175" s="481"/>
      <c r="F175" s="121"/>
      <c r="G175" s="120"/>
      <c r="H175" s="120"/>
      <c r="I175" s="120"/>
      <c r="J175" s="448"/>
    </row>
    <row r="176" spans="1:11" ht="30" customHeight="1" thickBot="1" x14ac:dyDescent="0.25">
      <c r="A176" s="367"/>
      <c r="B176" s="366"/>
      <c r="C176" s="358"/>
      <c r="D176" s="358"/>
      <c r="E176" s="365"/>
      <c r="F176" s="302"/>
      <c r="G176" s="151"/>
      <c r="H176" s="151"/>
      <c r="I176" s="151"/>
      <c r="J176" s="351"/>
    </row>
    <row r="177" spans="1:10" s="567" customFormat="1" ht="30" customHeight="1" thickBot="1" x14ac:dyDescent="0.3">
      <c r="A177" s="569"/>
      <c r="B177" s="570" t="s">
        <v>627</v>
      </c>
      <c r="C177" s="315">
        <f>SUM(C178,C179,C188:C192)</f>
        <v>109511899.31</v>
      </c>
      <c r="D177" s="315">
        <f>SUM(D178,D179,D188:D192)</f>
        <v>109458329.31</v>
      </c>
      <c r="E177" s="561"/>
      <c r="F177" s="550"/>
      <c r="G177" s="550"/>
      <c r="H177" s="550"/>
      <c r="I177" s="550"/>
      <c r="J177" s="573"/>
    </row>
    <row r="178" spans="1:10" s="3" customFormat="1" ht="38.25" x14ac:dyDescent="0.2">
      <c r="A178" s="248">
        <v>3111</v>
      </c>
      <c r="B178" s="363" t="s">
        <v>626</v>
      </c>
      <c r="C178" s="362">
        <f>(5.95+3.9+44.064+14.478+0.8+1.8+0.4+2.5)*1000000</f>
        <v>73892000</v>
      </c>
      <c r="D178" s="362">
        <f>(5.95+3.9+44.064+14.478+0.8+1.8+0.4+2.5)*1000000</f>
        <v>73892000</v>
      </c>
      <c r="E178" s="534"/>
      <c r="F178" s="120"/>
      <c r="G178" s="120"/>
      <c r="H178" s="120"/>
      <c r="I178" s="120"/>
      <c r="J178" s="109"/>
    </row>
    <row r="179" spans="1:10" s="3" customFormat="1" ht="30" customHeight="1" x14ac:dyDescent="0.2">
      <c r="A179" s="180">
        <v>3112</v>
      </c>
      <c r="B179" s="180" t="s">
        <v>625</v>
      </c>
      <c r="C179" s="122">
        <f>SUM(C180:C187)</f>
        <v>19516800</v>
      </c>
      <c r="D179" s="122">
        <f>SUM(D180:D187)</f>
        <v>19516800</v>
      </c>
      <c r="E179" s="121"/>
      <c r="F179" s="121"/>
      <c r="G179" s="120"/>
      <c r="H179" s="120"/>
      <c r="I179" s="120"/>
      <c r="J179" s="6"/>
    </row>
    <row r="180" spans="1:10" s="3" customFormat="1" ht="30" customHeight="1" x14ac:dyDescent="0.2">
      <c r="A180" s="180"/>
      <c r="B180" s="360" t="s">
        <v>624</v>
      </c>
      <c r="C180" s="9">
        <v>1427000</v>
      </c>
      <c r="D180" s="9">
        <v>1427000</v>
      </c>
      <c r="E180" s="364"/>
      <c r="F180" s="364"/>
      <c r="G180" s="126"/>
      <c r="H180" s="126"/>
      <c r="I180" s="126"/>
      <c r="J180" s="296"/>
    </row>
    <row r="181" spans="1:10" s="3" customFormat="1" ht="30" customHeight="1" x14ac:dyDescent="0.2">
      <c r="A181" s="180"/>
      <c r="B181" s="360" t="s">
        <v>623</v>
      </c>
      <c r="C181" s="126">
        <v>0</v>
      </c>
      <c r="D181" s="126">
        <v>0</v>
      </c>
      <c r="E181" s="535"/>
      <c r="F181" s="294"/>
      <c r="G181" s="126"/>
      <c r="H181" s="126"/>
      <c r="I181" s="126"/>
      <c r="J181" s="296"/>
    </row>
    <row r="182" spans="1:10" s="3" customFormat="1" ht="30" customHeight="1" x14ac:dyDescent="0.2">
      <c r="A182" s="180"/>
      <c r="B182" s="360" t="s">
        <v>622</v>
      </c>
      <c r="C182" s="130">
        <f>4209000-150200</f>
        <v>4058800</v>
      </c>
      <c r="D182" s="130">
        <f>4209000-150200</f>
        <v>4058800</v>
      </c>
      <c r="E182" s="126"/>
      <c r="F182" s="126"/>
      <c r="G182" s="126"/>
      <c r="H182" s="126"/>
      <c r="I182" s="126"/>
      <c r="J182" s="14"/>
    </row>
    <row r="183" spans="1:10" s="3" customFormat="1" ht="30" customHeight="1" x14ac:dyDescent="0.2">
      <c r="A183" s="180"/>
      <c r="B183" s="360" t="s">
        <v>621</v>
      </c>
      <c r="C183" s="130">
        <v>2581000</v>
      </c>
      <c r="D183" s="130">
        <v>2581000</v>
      </c>
      <c r="E183" s="130"/>
      <c r="F183" s="130"/>
      <c r="G183" s="126"/>
      <c r="H183" s="126"/>
      <c r="I183" s="126"/>
      <c r="J183" s="14"/>
    </row>
    <row r="184" spans="1:10" s="3" customFormat="1" ht="30" customHeight="1" x14ac:dyDescent="0.2">
      <c r="A184" s="180"/>
      <c r="B184" s="360" t="s">
        <v>620</v>
      </c>
      <c r="C184" s="126">
        <v>3000000</v>
      </c>
      <c r="D184" s="126">
        <v>3000000</v>
      </c>
      <c r="E184" s="130"/>
      <c r="F184" s="130"/>
      <c r="G184" s="126"/>
      <c r="H184" s="126"/>
      <c r="I184" s="126"/>
      <c r="J184" s="14"/>
    </row>
    <row r="185" spans="1:10" s="3" customFormat="1" ht="30" customHeight="1" x14ac:dyDescent="0.2">
      <c r="A185" s="180"/>
      <c r="B185" s="360" t="s">
        <v>619</v>
      </c>
      <c r="C185" s="126">
        <v>3000000</v>
      </c>
      <c r="D185" s="126">
        <v>3000000</v>
      </c>
      <c r="E185" s="130"/>
      <c r="F185" s="130"/>
      <c r="G185" s="126"/>
      <c r="H185" s="126"/>
      <c r="I185" s="126"/>
      <c r="J185" s="14"/>
    </row>
    <row r="186" spans="1:10" s="3" customFormat="1" ht="30" customHeight="1" x14ac:dyDescent="0.2">
      <c r="A186" s="180"/>
      <c r="B186" s="360" t="s">
        <v>618</v>
      </c>
      <c r="C186" s="126">
        <v>5450000</v>
      </c>
      <c r="D186" s="126">
        <v>5450000</v>
      </c>
      <c r="E186" s="130"/>
      <c r="F186" s="130"/>
      <c r="G186" s="126"/>
      <c r="H186" s="126"/>
      <c r="I186" s="126"/>
      <c r="J186" s="14"/>
    </row>
    <row r="187" spans="1:10" s="3" customFormat="1" ht="30" customHeight="1" x14ac:dyDescent="0.2">
      <c r="A187" s="180"/>
      <c r="B187" s="360" t="s">
        <v>617</v>
      </c>
      <c r="C187" s="126">
        <v>0</v>
      </c>
      <c r="D187" s="126">
        <v>0</v>
      </c>
      <c r="E187" s="130"/>
      <c r="F187" s="130"/>
      <c r="G187" s="126"/>
      <c r="H187" s="126"/>
      <c r="I187" s="126"/>
      <c r="J187" s="14"/>
    </row>
    <row r="188" spans="1:10" s="3" customFormat="1" ht="30" customHeight="1" x14ac:dyDescent="0.2">
      <c r="A188" s="180">
        <v>3113</v>
      </c>
      <c r="B188" s="180" t="s">
        <v>616</v>
      </c>
      <c r="C188" s="120">
        <v>0</v>
      </c>
      <c r="D188" s="120">
        <v>0</v>
      </c>
      <c r="E188" s="121"/>
      <c r="F188" s="121"/>
      <c r="G188" s="120"/>
      <c r="H188" s="120"/>
      <c r="I188" s="120"/>
      <c r="J188" s="14"/>
    </row>
    <row r="189" spans="1:10" s="3" customFormat="1" ht="30" customHeight="1" x14ac:dyDescent="0.2">
      <c r="A189" s="180">
        <v>3119</v>
      </c>
      <c r="B189" s="180" t="s">
        <v>615</v>
      </c>
      <c r="C189" s="120">
        <v>0</v>
      </c>
      <c r="D189" s="120">
        <v>0</v>
      </c>
      <c r="E189" s="121"/>
      <c r="F189" s="121"/>
      <c r="G189" s="120"/>
      <c r="H189" s="120"/>
      <c r="I189" s="120"/>
      <c r="J189" s="14"/>
    </row>
    <row r="190" spans="1:10" s="3" customFormat="1" ht="30" customHeight="1" x14ac:dyDescent="0.2">
      <c r="A190" s="180">
        <v>3121</v>
      </c>
      <c r="B190" s="180" t="s">
        <v>614</v>
      </c>
      <c r="C190" s="120">
        <v>400000</v>
      </c>
      <c r="D190" s="120">
        <v>400000</v>
      </c>
      <c r="E190" s="121"/>
      <c r="F190" s="121"/>
      <c r="G190" s="120"/>
      <c r="H190" s="120"/>
      <c r="I190" s="120"/>
      <c r="J190" s="14"/>
    </row>
    <row r="191" spans="1:10" s="3" customFormat="1" ht="30" customHeight="1" x14ac:dyDescent="0.2">
      <c r="A191" s="180">
        <v>3122</v>
      </c>
      <c r="B191" s="345" t="s">
        <v>613</v>
      </c>
      <c r="C191" s="120">
        <v>0</v>
      </c>
      <c r="D191" s="120">
        <v>0</v>
      </c>
      <c r="E191" s="121"/>
      <c r="F191" s="121"/>
      <c r="G191" s="120"/>
      <c r="H191" s="120"/>
      <c r="I191" s="120"/>
      <c r="J191" s="14"/>
    </row>
    <row r="192" spans="1:10" s="3" customFormat="1" ht="30" customHeight="1" x14ac:dyDescent="0.2">
      <c r="A192" s="180">
        <v>3129</v>
      </c>
      <c r="B192" s="180" t="s">
        <v>612</v>
      </c>
      <c r="C192" s="122">
        <f>SUM(C193:C197)</f>
        <v>15703099.310000001</v>
      </c>
      <c r="D192" s="122">
        <f>SUM(D193:D197)</f>
        <v>15649529.310000001</v>
      </c>
      <c r="E192" s="121"/>
      <c r="F192" s="121"/>
      <c r="G192" s="120"/>
      <c r="H192" s="120"/>
      <c r="I192" s="120"/>
      <c r="J192" s="14"/>
    </row>
    <row r="193" spans="1:10" s="3" customFormat="1" ht="30" customHeight="1" x14ac:dyDescent="0.2">
      <c r="A193" s="346"/>
      <c r="B193" s="360" t="s">
        <v>611</v>
      </c>
      <c r="C193" s="126"/>
      <c r="D193" s="126"/>
      <c r="E193" s="130"/>
      <c r="F193" s="130"/>
      <c r="G193" s="126"/>
      <c r="H193" s="126"/>
      <c r="I193" s="126"/>
      <c r="J193" s="6"/>
    </row>
    <row r="194" spans="1:10" s="3" customFormat="1" ht="30" customHeight="1" x14ac:dyDescent="0.2">
      <c r="A194" s="346"/>
      <c r="B194" s="360" t="s">
        <v>610</v>
      </c>
      <c r="C194" s="126">
        <v>1053570</v>
      </c>
      <c r="D194" s="126">
        <f>1053570-1053570</f>
        <v>0</v>
      </c>
      <c r="E194" s="130"/>
      <c r="F194" s="130"/>
      <c r="G194" s="126"/>
      <c r="H194" s="126"/>
      <c r="I194" s="126"/>
      <c r="J194" s="14"/>
    </row>
    <row r="195" spans="1:10" s="3" customFormat="1" ht="30" customHeight="1" x14ac:dyDescent="0.2">
      <c r="A195" s="346"/>
      <c r="B195" s="360" t="s">
        <v>889</v>
      </c>
      <c r="C195" s="126">
        <v>0</v>
      </c>
      <c r="D195" s="126">
        <v>1000000</v>
      </c>
      <c r="E195" s="130"/>
      <c r="F195" s="130"/>
      <c r="G195" s="126"/>
      <c r="H195" s="126"/>
      <c r="I195" s="126"/>
      <c r="J195" s="14"/>
    </row>
    <row r="196" spans="1:10" s="3" customFormat="1" ht="30" customHeight="1" x14ac:dyDescent="0.2">
      <c r="A196" s="180"/>
      <c r="B196" s="237" t="s">
        <v>890</v>
      </c>
      <c r="C196" s="130">
        <v>0</v>
      </c>
      <c r="D196" s="130">
        <f>2226747.48-2226747.48</f>
        <v>0</v>
      </c>
      <c r="E196" s="130"/>
      <c r="F196" s="130"/>
      <c r="G196" s="126"/>
      <c r="H196" s="126"/>
      <c r="I196" s="126"/>
      <c r="J196" s="6"/>
    </row>
    <row r="197" spans="1:10" s="3" customFormat="1" ht="30" customHeight="1" x14ac:dyDescent="0.2">
      <c r="A197" s="346"/>
      <c r="B197" s="360" t="s">
        <v>609</v>
      </c>
      <c r="C197" s="126">
        <v>14649529.310000001</v>
      </c>
      <c r="D197" s="126">
        <v>14649529.310000001</v>
      </c>
      <c r="E197" s="130"/>
      <c r="F197" s="130"/>
      <c r="G197" s="126"/>
      <c r="H197" s="126"/>
      <c r="I197" s="126"/>
      <c r="J197" s="6"/>
    </row>
    <row r="198" spans="1:10" s="3" customFormat="1" ht="30" customHeight="1" thickBot="1" x14ac:dyDescent="0.25">
      <c r="A198" s="346"/>
      <c r="B198" s="359"/>
      <c r="C198" s="358"/>
      <c r="D198" s="358"/>
      <c r="E198" s="117"/>
      <c r="F198" s="117"/>
      <c r="G198" s="151"/>
      <c r="H198" s="151"/>
      <c r="I198" s="151"/>
      <c r="J198" s="6"/>
    </row>
    <row r="199" spans="1:10" s="572" customFormat="1" ht="30" customHeight="1" thickBot="1" x14ac:dyDescent="0.35">
      <c r="A199" s="139"/>
      <c r="B199" s="139" t="s">
        <v>608</v>
      </c>
      <c r="C199" s="457">
        <f>SUM(C200,C202:C203,C218,C226,C232:C233,C238,C248)</f>
        <v>81229895.713500008</v>
      </c>
      <c r="D199" s="457">
        <f>SUM(D200,D202:D203,D218,D226,D232:D233,D238,D248)</f>
        <v>101109302.39350002</v>
      </c>
      <c r="E199" s="181"/>
      <c r="F199" s="559"/>
      <c r="G199" s="571"/>
      <c r="H199" s="571"/>
      <c r="I199" s="571"/>
      <c r="J199" s="568"/>
    </row>
    <row r="200" spans="1:10" s="3" customFormat="1" ht="30" customHeight="1" x14ac:dyDescent="0.2">
      <c r="A200" s="356">
        <v>4111</v>
      </c>
      <c r="B200" s="356" t="s">
        <v>607</v>
      </c>
      <c r="C200" s="357">
        <f>SUM(C201:C201)</f>
        <v>0</v>
      </c>
      <c r="D200" s="357">
        <f>SUM(D201:D201)</f>
        <v>1026933.11</v>
      </c>
      <c r="E200" s="512"/>
      <c r="F200" s="513"/>
      <c r="G200" s="120"/>
      <c r="H200" s="120"/>
      <c r="I200" s="120"/>
      <c r="J200" s="14"/>
    </row>
    <row r="201" spans="1:10" s="3" customFormat="1" ht="30" customHeight="1" x14ac:dyDescent="0.2">
      <c r="A201" s="356"/>
      <c r="B201" s="355" t="s">
        <v>606</v>
      </c>
      <c r="C201" s="354">
        <v>0</v>
      </c>
      <c r="D201" s="354">
        <f>1026933.11</f>
        <v>1026933.11</v>
      </c>
      <c r="E201" s="126"/>
      <c r="F201" s="126"/>
      <c r="G201" s="126"/>
      <c r="H201" s="126"/>
      <c r="I201" s="126"/>
      <c r="J201" s="6"/>
    </row>
    <row r="202" spans="1:10" ht="89.25" x14ac:dyDescent="0.2">
      <c r="A202" s="137">
        <v>4112</v>
      </c>
      <c r="B202" s="175" t="s">
        <v>605</v>
      </c>
      <c r="C202" s="24">
        <f>(958935.0949+709659.9826+520950+433320+542800+39919+4236063.649+7723640.937+23616817.65+627210+1363000+1530786+236555+42.69)+918800</f>
        <v>43458500.0035</v>
      </c>
      <c r="D202" s="24">
        <f>(958935.0949+709659.9826+520950+433320+542800+39919+4236063.649+7723640.937+23616817.65+627210+1363000+1530786+236555+42.69)+918800</f>
        <v>43458500.0035</v>
      </c>
      <c r="E202" s="126"/>
      <c r="F202" s="126"/>
      <c r="G202" s="120"/>
      <c r="H202" s="120"/>
      <c r="I202" s="120"/>
      <c r="J202" s="6"/>
    </row>
    <row r="203" spans="1:10" s="3" customFormat="1" ht="30" customHeight="1" x14ac:dyDescent="0.2">
      <c r="A203" s="123">
        <v>4116</v>
      </c>
      <c r="B203" s="123" t="s">
        <v>604</v>
      </c>
      <c r="C203" s="122">
        <f>SUM(C204:C217)</f>
        <v>8333206</v>
      </c>
      <c r="D203" s="122">
        <f>SUM(D204:D217)</f>
        <v>12970525.899999999</v>
      </c>
      <c r="E203" s="120"/>
      <c r="F203" s="120"/>
      <c r="G203" s="120"/>
      <c r="H203" s="120"/>
      <c r="I203" s="120"/>
      <c r="J203" s="6"/>
    </row>
    <row r="204" spans="1:10" ht="30" customHeight="1" x14ac:dyDescent="0.2">
      <c r="A204" s="155"/>
      <c r="B204" s="15" t="s">
        <v>603</v>
      </c>
      <c r="C204" s="9">
        <v>50000</v>
      </c>
      <c r="D204" s="9">
        <v>50000</v>
      </c>
      <c r="E204" s="126"/>
      <c r="F204" s="120"/>
      <c r="G204" s="126"/>
      <c r="H204" s="126"/>
      <c r="I204" s="126"/>
      <c r="J204" s="6"/>
    </row>
    <row r="205" spans="1:10" ht="30" customHeight="1" x14ac:dyDescent="0.2">
      <c r="A205" s="155"/>
      <c r="B205" s="155" t="s">
        <v>602</v>
      </c>
      <c r="C205" s="126">
        <v>0</v>
      </c>
      <c r="D205" s="126">
        <v>0</v>
      </c>
      <c r="E205" s="130"/>
      <c r="F205" s="130"/>
      <c r="G205" s="126"/>
      <c r="H205" s="126"/>
      <c r="I205" s="126"/>
      <c r="J205" s="14"/>
    </row>
    <row r="206" spans="1:10" ht="30" customHeight="1" x14ac:dyDescent="0.2">
      <c r="A206" s="123"/>
      <c r="B206" s="131" t="s">
        <v>601</v>
      </c>
      <c r="C206" s="126">
        <v>7145900</v>
      </c>
      <c r="D206" s="126">
        <v>7145900</v>
      </c>
      <c r="E206" s="10"/>
      <c r="F206" s="130"/>
      <c r="G206" s="126"/>
      <c r="H206" s="126"/>
      <c r="I206" s="126"/>
      <c r="J206" s="14"/>
    </row>
    <row r="207" spans="1:10" ht="30" customHeight="1" x14ac:dyDescent="0.2">
      <c r="A207" s="185"/>
      <c r="B207" s="185" t="s">
        <v>600</v>
      </c>
      <c r="C207" s="126">
        <v>1137306</v>
      </c>
      <c r="D207" s="126">
        <f>1137306+(-1137306+1211186)</f>
        <v>1211186</v>
      </c>
      <c r="E207" s="10"/>
      <c r="F207" s="130"/>
      <c r="G207" s="126"/>
      <c r="H207" s="126"/>
      <c r="I207" s="126"/>
      <c r="J207" s="14"/>
    </row>
    <row r="208" spans="1:10" ht="30" customHeight="1" x14ac:dyDescent="0.2">
      <c r="A208" s="185"/>
      <c r="B208" s="185" t="s">
        <v>919</v>
      </c>
      <c r="C208" s="126">
        <v>0</v>
      </c>
      <c r="D208" s="126">
        <v>91988</v>
      </c>
      <c r="E208" s="10"/>
      <c r="F208" s="130"/>
      <c r="G208" s="126"/>
      <c r="H208" s="126"/>
      <c r="I208" s="126"/>
      <c r="J208" s="14"/>
    </row>
    <row r="209" spans="1:16" ht="30" customHeight="1" x14ac:dyDescent="0.2">
      <c r="A209" s="342"/>
      <c r="B209" s="185" t="s">
        <v>909</v>
      </c>
      <c r="C209" s="126">
        <v>0</v>
      </c>
      <c r="D209" s="126">
        <v>1395266</v>
      </c>
      <c r="E209" s="130"/>
      <c r="F209" s="130"/>
      <c r="G209" s="126"/>
      <c r="H209" s="126"/>
      <c r="I209" s="126"/>
      <c r="J209" s="14"/>
    </row>
    <row r="210" spans="1:16" s="3" customFormat="1" ht="30" customHeight="1" x14ac:dyDescent="0.2">
      <c r="A210" s="343"/>
      <c r="B210" s="185" t="s">
        <v>870</v>
      </c>
      <c r="C210" s="126">
        <v>0</v>
      </c>
      <c r="D210" s="126">
        <v>68450.27</v>
      </c>
      <c r="E210" s="130"/>
      <c r="F210" s="130"/>
      <c r="G210" s="126"/>
      <c r="H210" s="126"/>
      <c r="I210" s="126"/>
      <c r="J210" s="14"/>
      <c r="K210" s="341"/>
    </row>
    <row r="211" spans="1:16" s="3" customFormat="1" ht="30" customHeight="1" x14ac:dyDescent="0.2">
      <c r="A211" s="343"/>
      <c r="B211" s="185" t="s">
        <v>871</v>
      </c>
      <c r="C211" s="126">
        <v>0</v>
      </c>
      <c r="D211" s="126">
        <v>1163654.6299999999</v>
      </c>
      <c r="E211" s="130"/>
      <c r="F211" s="130"/>
      <c r="G211" s="126"/>
      <c r="H211" s="126"/>
      <c r="I211" s="126"/>
      <c r="J211" s="14"/>
      <c r="K211" s="341"/>
    </row>
    <row r="212" spans="1:16" s="3" customFormat="1" ht="30" customHeight="1" x14ac:dyDescent="0.2">
      <c r="A212" s="343"/>
      <c r="B212" s="185" t="s">
        <v>883</v>
      </c>
      <c r="C212" s="126">
        <v>0</v>
      </c>
      <c r="D212" s="126">
        <v>726</v>
      </c>
      <c r="E212" s="130"/>
      <c r="F212" s="130"/>
      <c r="G212" s="126"/>
      <c r="H212" s="126"/>
      <c r="I212" s="126"/>
      <c r="J212" s="14"/>
      <c r="K212" s="341"/>
    </row>
    <row r="213" spans="1:16" s="3" customFormat="1" ht="30" customHeight="1" x14ac:dyDescent="0.2">
      <c r="A213" s="343"/>
      <c r="B213" s="185" t="s">
        <v>884</v>
      </c>
      <c r="C213" s="126">
        <v>0</v>
      </c>
      <c r="D213" s="126">
        <v>14520</v>
      </c>
      <c r="E213" s="130"/>
      <c r="F213" s="130"/>
      <c r="G213" s="126"/>
      <c r="H213" s="126"/>
      <c r="I213" s="126"/>
      <c r="J213" s="14"/>
      <c r="K213" s="341"/>
    </row>
    <row r="214" spans="1:16" s="3" customFormat="1" ht="30" customHeight="1" x14ac:dyDescent="0.2">
      <c r="A214" s="343"/>
      <c r="B214" s="185" t="s">
        <v>920</v>
      </c>
      <c r="C214" s="126">
        <v>0</v>
      </c>
      <c r="D214" s="126">
        <v>167860</v>
      </c>
      <c r="E214" s="302"/>
      <c r="F214" s="117"/>
      <c r="G214" s="126"/>
      <c r="H214" s="126"/>
      <c r="I214" s="126"/>
      <c r="J214" s="14"/>
      <c r="K214" s="341"/>
    </row>
    <row r="215" spans="1:16" s="3" customFormat="1" ht="30" customHeight="1" x14ac:dyDescent="0.2">
      <c r="A215" s="156"/>
      <c r="B215" s="185" t="s">
        <v>874</v>
      </c>
      <c r="C215" s="297">
        <v>0</v>
      </c>
      <c r="D215" s="297">
        <f>(70381.36+398827.64)</f>
        <v>469209</v>
      </c>
      <c r="E215" s="302"/>
      <c r="F215" s="117"/>
      <c r="G215" s="126"/>
      <c r="H215" s="126"/>
      <c r="I215" s="126"/>
      <c r="J215" s="14"/>
      <c r="P215" s="341"/>
    </row>
    <row r="216" spans="1:16" s="3" customFormat="1" ht="30" customHeight="1" x14ac:dyDescent="0.2">
      <c r="A216" s="156"/>
      <c r="B216" s="185" t="s">
        <v>898</v>
      </c>
      <c r="C216" s="297">
        <v>0</v>
      </c>
      <c r="D216" s="297">
        <f>(169419.91+960046.09)</f>
        <v>1129466</v>
      </c>
      <c r="E216" s="302"/>
      <c r="F216" s="117"/>
      <c r="G216" s="126"/>
      <c r="H216" s="126"/>
      <c r="I216" s="126"/>
      <c r="J216" s="14"/>
      <c r="P216" s="341"/>
    </row>
    <row r="217" spans="1:16" s="3" customFormat="1" ht="30" customHeight="1" x14ac:dyDescent="0.2">
      <c r="A217" s="343"/>
      <c r="B217" s="185" t="s">
        <v>921</v>
      </c>
      <c r="C217" s="126">
        <v>0</v>
      </c>
      <c r="D217" s="126">
        <v>62300</v>
      </c>
      <c r="E217" s="302"/>
      <c r="F217" s="117"/>
      <c r="G217" s="126"/>
      <c r="H217" s="126"/>
      <c r="I217" s="126"/>
      <c r="J217" s="14"/>
      <c r="K217" s="341"/>
    </row>
    <row r="218" spans="1:16" ht="30" customHeight="1" x14ac:dyDescent="0.2">
      <c r="A218" s="123">
        <v>4121</v>
      </c>
      <c r="B218" s="123" t="s">
        <v>599</v>
      </c>
      <c r="C218" s="122">
        <f>SUM(C219:C225)</f>
        <v>1631120</v>
      </c>
      <c r="D218" s="122">
        <f>SUM(D219:D225)</f>
        <v>1631120</v>
      </c>
      <c r="E218" s="134"/>
      <c r="F218" s="134"/>
      <c r="G218" s="120"/>
      <c r="H218" s="120"/>
      <c r="I218" s="120"/>
      <c r="J218" s="14"/>
    </row>
    <row r="219" spans="1:16" ht="30" customHeight="1" x14ac:dyDescent="0.2">
      <c r="A219" s="123"/>
      <c r="B219" s="155" t="s">
        <v>598</v>
      </c>
      <c r="C219" s="126">
        <v>260000</v>
      </c>
      <c r="D219" s="126">
        <v>260000</v>
      </c>
      <c r="E219" s="302"/>
      <c r="F219" s="117"/>
      <c r="G219" s="126"/>
      <c r="H219" s="126"/>
      <c r="I219" s="126"/>
      <c r="J219" s="14"/>
    </row>
    <row r="220" spans="1:16" ht="30" customHeight="1" x14ac:dyDescent="0.2">
      <c r="A220" s="123"/>
      <c r="B220" s="155" t="s">
        <v>597</v>
      </c>
      <c r="C220" s="126">
        <v>3000</v>
      </c>
      <c r="D220" s="126">
        <v>3000</v>
      </c>
      <c r="E220" s="302"/>
      <c r="F220" s="117"/>
      <c r="G220" s="126"/>
      <c r="H220" s="126"/>
      <c r="I220" s="126"/>
      <c r="J220" s="14"/>
    </row>
    <row r="221" spans="1:16" ht="30" customHeight="1" x14ac:dyDescent="0.2">
      <c r="A221" s="184"/>
      <c r="B221" s="185" t="s">
        <v>596</v>
      </c>
      <c r="C221" s="126"/>
      <c r="D221" s="126"/>
      <c r="E221" s="302"/>
      <c r="F221" s="117"/>
      <c r="G221" s="126"/>
      <c r="H221" s="126"/>
      <c r="I221" s="126"/>
      <c r="J221" s="14"/>
      <c r="K221" s="341"/>
    </row>
    <row r="222" spans="1:16" ht="30" customHeight="1" x14ac:dyDescent="0.2">
      <c r="A222" s="184"/>
      <c r="B222" s="185" t="s">
        <v>595</v>
      </c>
      <c r="C222" s="126">
        <v>735147</v>
      </c>
      <c r="D222" s="126">
        <v>735147</v>
      </c>
      <c r="E222" s="302"/>
      <c r="F222" s="117"/>
      <c r="G222" s="126"/>
      <c r="H222" s="126"/>
      <c r="I222" s="126"/>
      <c r="J222" s="14"/>
      <c r="K222" s="341"/>
    </row>
    <row r="223" spans="1:16" ht="30" customHeight="1" x14ac:dyDescent="0.2">
      <c r="A223" s="184"/>
      <c r="B223" s="185" t="s">
        <v>594</v>
      </c>
      <c r="C223" s="126">
        <v>632973</v>
      </c>
      <c r="D223" s="126">
        <v>632973</v>
      </c>
      <c r="E223" s="302"/>
      <c r="F223" s="117"/>
      <c r="G223" s="126"/>
      <c r="H223" s="126"/>
      <c r="I223" s="126"/>
      <c r="J223" s="14"/>
      <c r="K223" s="341"/>
    </row>
    <row r="224" spans="1:16" ht="30" customHeight="1" x14ac:dyDescent="0.2">
      <c r="A224" s="184"/>
      <c r="B224" s="185" t="s">
        <v>593</v>
      </c>
      <c r="C224" s="126"/>
      <c r="D224" s="126"/>
      <c r="E224" s="302"/>
      <c r="F224" s="117"/>
      <c r="G224" s="126"/>
      <c r="H224" s="126"/>
      <c r="I224" s="126"/>
      <c r="J224" s="14"/>
    </row>
    <row r="225" spans="1:11" ht="30" customHeight="1" x14ac:dyDescent="0.2">
      <c r="A225" s="123"/>
      <c r="B225" s="155" t="s">
        <v>592</v>
      </c>
      <c r="C225" s="126"/>
      <c r="D225" s="126"/>
      <c r="E225" s="302"/>
      <c r="F225" s="117"/>
      <c r="G225" s="126"/>
      <c r="H225" s="126"/>
      <c r="I225" s="126"/>
      <c r="J225" s="14"/>
    </row>
    <row r="226" spans="1:11" ht="30" customHeight="1" x14ac:dyDescent="0.2">
      <c r="A226" s="184">
        <v>4122</v>
      </c>
      <c r="B226" s="350" t="s">
        <v>591</v>
      </c>
      <c r="C226" s="121">
        <f>SUM(C227:C231)</f>
        <v>0</v>
      </c>
      <c r="D226" s="121">
        <f>SUM(D227:D231)</f>
        <v>9913000</v>
      </c>
      <c r="E226" s="18"/>
      <c r="F226" s="130"/>
      <c r="G226" s="120"/>
      <c r="H226" s="120"/>
      <c r="I226" s="120"/>
      <c r="J226" s="14"/>
      <c r="K226" s="341"/>
    </row>
    <row r="227" spans="1:11" s="3" customFormat="1" ht="30" customHeight="1" x14ac:dyDescent="0.2">
      <c r="A227" s="343"/>
      <c r="B227" s="342" t="s">
        <v>590</v>
      </c>
      <c r="C227" s="126">
        <v>0</v>
      </c>
      <c r="D227" s="126">
        <v>106000</v>
      </c>
      <c r="E227" s="130"/>
      <c r="F227" s="130"/>
      <c r="G227" s="126"/>
      <c r="H227" s="126"/>
      <c r="I227" s="126"/>
      <c r="J227" s="14"/>
      <c r="K227" s="341"/>
    </row>
    <row r="228" spans="1:11" s="3" customFormat="1" ht="30" customHeight="1" x14ac:dyDescent="0.2">
      <c r="A228" s="343"/>
      <c r="B228" s="342" t="s">
        <v>589</v>
      </c>
      <c r="C228" s="126"/>
      <c r="D228" s="126"/>
      <c r="E228" s="130"/>
      <c r="F228" s="130"/>
      <c r="G228" s="126"/>
      <c r="H228" s="126"/>
      <c r="I228" s="126"/>
      <c r="J228" s="14"/>
      <c r="K228" s="341"/>
    </row>
    <row r="229" spans="1:11" s="3" customFormat="1" ht="30" customHeight="1" x14ac:dyDescent="0.2">
      <c r="A229" s="343"/>
      <c r="B229" s="342" t="s">
        <v>588</v>
      </c>
      <c r="C229" s="126">
        <v>0</v>
      </c>
      <c r="D229" s="126">
        <f>4123000</f>
        <v>4123000</v>
      </c>
      <c r="E229" s="130"/>
      <c r="F229" s="130"/>
      <c r="G229" s="126"/>
      <c r="H229" s="126"/>
      <c r="I229" s="126"/>
      <c r="J229" s="14"/>
      <c r="K229" s="341"/>
    </row>
    <row r="230" spans="1:11" s="3" customFormat="1" ht="30" customHeight="1" x14ac:dyDescent="0.2">
      <c r="A230" s="343"/>
      <c r="B230" s="342" t="s">
        <v>907</v>
      </c>
      <c r="C230" s="126">
        <v>0</v>
      </c>
      <c r="D230" s="126">
        <v>100000</v>
      </c>
      <c r="E230" s="130"/>
      <c r="F230" s="130"/>
      <c r="G230" s="126"/>
      <c r="H230" s="126"/>
      <c r="I230" s="126"/>
      <c r="J230" s="14"/>
      <c r="K230" s="341"/>
    </row>
    <row r="231" spans="1:11" ht="30" customHeight="1" x14ac:dyDescent="0.2">
      <c r="A231" s="184"/>
      <c r="B231" s="185" t="s">
        <v>587</v>
      </c>
      <c r="C231" s="126">
        <v>0</v>
      </c>
      <c r="D231" s="126">
        <f>5584000</f>
        <v>5584000</v>
      </c>
      <c r="E231" s="130"/>
      <c r="F231" s="130"/>
      <c r="G231" s="126"/>
      <c r="H231" s="126"/>
      <c r="I231" s="126"/>
      <c r="J231" s="351"/>
      <c r="K231" s="341"/>
    </row>
    <row r="232" spans="1:11" s="3" customFormat="1" ht="30" customHeight="1" x14ac:dyDescent="0.2">
      <c r="A232" s="576">
        <v>4134</v>
      </c>
      <c r="B232" s="123" t="s">
        <v>785</v>
      </c>
      <c r="C232" s="120">
        <v>5900000</v>
      </c>
      <c r="D232" s="120">
        <v>5900000</v>
      </c>
      <c r="E232" s="121"/>
      <c r="F232" s="121"/>
      <c r="G232" s="120"/>
      <c r="H232" s="120"/>
      <c r="I232" s="120"/>
      <c r="J232" s="14"/>
    </row>
    <row r="233" spans="1:11" s="3" customFormat="1" ht="30" customHeight="1" x14ac:dyDescent="0.2">
      <c r="A233" s="123">
        <v>4213</v>
      </c>
      <c r="B233" s="123" t="s">
        <v>586</v>
      </c>
      <c r="C233" s="122">
        <f>SUM(C234:C237)</f>
        <v>1048657.06</v>
      </c>
      <c r="D233" s="122">
        <f>SUM(D234:D237)</f>
        <v>1048657.06</v>
      </c>
      <c r="E233" s="121"/>
      <c r="F233" s="130"/>
      <c r="G233" s="120"/>
      <c r="H233" s="120"/>
      <c r="I233" s="120"/>
      <c r="J233" s="14"/>
    </row>
    <row r="234" spans="1:11" s="2" customFormat="1" ht="30" customHeight="1" x14ac:dyDescent="0.2">
      <c r="A234" s="131"/>
      <c r="B234" s="307" t="s">
        <v>585</v>
      </c>
      <c r="C234" s="126">
        <v>250000</v>
      </c>
      <c r="D234" s="126">
        <v>250000</v>
      </c>
      <c r="E234" s="302"/>
      <c r="F234" s="117"/>
      <c r="G234" s="126"/>
      <c r="H234" s="126"/>
      <c r="I234" s="126"/>
      <c r="J234" s="201"/>
    </row>
    <row r="235" spans="1:11" s="2" customFormat="1" ht="30" customHeight="1" x14ac:dyDescent="0.2">
      <c r="A235" s="131"/>
      <c r="B235" s="307" t="s">
        <v>584</v>
      </c>
      <c r="C235" s="126">
        <v>200000</v>
      </c>
      <c r="D235" s="126">
        <v>200000</v>
      </c>
      <c r="E235" s="297"/>
      <c r="F235" s="130"/>
      <c r="G235" s="126"/>
      <c r="H235" s="126"/>
      <c r="I235" s="126"/>
      <c r="J235" s="14"/>
    </row>
    <row r="236" spans="1:11" s="2" customFormat="1" ht="30" customHeight="1" x14ac:dyDescent="0.2">
      <c r="A236" s="131"/>
      <c r="B236" s="307" t="s">
        <v>583</v>
      </c>
      <c r="C236" s="126">
        <v>215516.54</v>
      </c>
      <c r="D236" s="126">
        <v>215516.54</v>
      </c>
      <c r="E236" s="297"/>
      <c r="F236" s="130"/>
      <c r="G236" s="126"/>
      <c r="H236" s="126"/>
      <c r="I236" s="126"/>
      <c r="J236" s="14"/>
    </row>
    <row r="237" spans="1:11" s="2" customFormat="1" ht="30" customHeight="1" x14ac:dyDescent="0.2">
      <c r="A237" s="131"/>
      <c r="B237" s="307" t="s">
        <v>582</v>
      </c>
      <c r="C237" s="126">
        <v>383140.52</v>
      </c>
      <c r="D237" s="126">
        <v>383140.52</v>
      </c>
      <c r="E237" s="297"/>
      <c r="F237" s="130"/>
      <c r="G237" s="126"/>
      <c r="H237" s="126"/>
      <c r="I237" s="126"/>
      <c r="J237" s="14"/>
    </row>
    <row r="238" spans="1:11" s="3" customFormat="1" ht="30" customHeight="1" x14ac:dyDescent="0.2">
      <c r="A238" s="184">
        <v>4216</v>
      </c>
      <c r="B238" s="349" t="s">
        <v>581</v>
      </c>
      <c r="C238" s="348">
        <f>SUM(C239:C247)</f>
        <v>11598412.65</v>
      </c>
      <c r="D238" s="348">
        <f>SUM(D239:D247)</f>
        <v>16223711.9</v>
      </c>
      <c r="E238" s="122"/>
      <c r="F238" s="122"/>
      <c r="G238" s="120"/>
      <c r="H238" s="120"/>
      <c r="I238" s="120"/>
      <c r="J238" s="14"/>
      <c r="K238" s="341"/>
    </row>
    <row r="239" spans="1:11" s="3" customFormat="1" ht="30" customHeight="1" x14ac:dyDescent="0.2">
      <c r="A239" s="343"/>
      <c r="B239" s="347" t="s">
        <v>580</v>
      </c>
      <c r="C239" s="126">
        <v>5992790.4299999997</v>
      </c>
      <c r="D239" s="126">
        <v>5992790.4299999997</v>
      </c>
      <c r="E239" s="127"/>
      <c r="F239" s="127"/>
      <c r="G239" s="126"/>
      <c r="H239" s="126"/>
      <c r="I239" s="126"/>
      <c r="J239" s="14"/>
      <c r="K239" s="341"/>
    </row>
    <row r="240" spans="1:11" s="3" customFormat="1" ht="30" customHeight="1" x14ac:dyDescent="0.2">
      <c r="A240" s="343"/>
      <c r="B240" s="347" t="s">
        <v>579</v>
      </c>
      <c r="C240" s="126">
        <v>3605622.22</v>
      </c>
      <c r="D240" s="126">
        <v>3605622.22</v>
      </c>
      <c r="E240" s="302"/>
      <c r="F240" s="117"/>
      <c r="G240" s="126"/>
      <c r="H240" s="126"/>
      <c r="I240" s="126"/>
      <c r="J240" s="201"/>
      <c r="K240" s="341"/>
    </row>
    <row r="241" spans="1:11" s="3" customFormat="1" ht="30" customHeight="1" x14ac:dyDescent="0.2">
      <c r="A241" s="343"/>
      <c r="B241" s="342" t="s">
        <v>904</v>
      </c>
      <c r="C241" s="126">
        <v>0</v>
      </c>
      <c r="D241" s="126">
        <f>(59625+506812.5)</f>
        <v>566437.5</v>
      </c>
      <c r="E241" s="104"/>
      <c r="F241" s="206"/>
      <c r="G241" s="126"/>
      <c r="H241" s="126"/>
      <c r="I241" s="126"/>
      <c r="J241" s="14"/>
      <c r="K241" s="341"/>
    </row>
    <row r="242" spans="1:11" s="3" customFormat="1" ht="30" customHeight="1" x14ac:dyDescent="0.2">
      <c r="A242" s="343"/>
      <c r="B242" s="185" t="s">
        <v>872</v>
      </c>
      <c r="C242" s="126">
        <v>0</v>
      </c>
      <c r="D242" s="126">
        <v>51518.6</v>
      </c>
      <c r="E242" s="206"/>
      <c r="F242" s="206"/>
      <c r="G242" s="126"/>
      <c r="H242" s="126"/>
      <c r="I242" s="126"/>
      <c r="J242" s="14"/>
      <c r="K242" s="341"/>
    </row>
    <row r="243" spans="1:11" s="3" customFormat="1" ht="30" customHeight="1" x14ac:dyDescent="0.2">
      <c r="A243" s="343"/>
      <c r="B243" s="185" t="s">
        <v>873</v>
      </c>
      <c r="C243" s="126">
        <v>0</v>
      </c>
      <c r="D243" s="126">
        <v>875816.2</v>
      </c>
      <c r="E243" s="206"/>
      <c r="F243" s="206"/>
      <c r="G243" s="126"/>
      <c r="H243" s="126"/>
      <c r="I243" s="126"/>
      <c r="J243" s="14"/>
      <c r="K243" s="341"/>
    </row>
    <row r="244" spans="1:11" ht="30" customHeight="1" x14ac:dyDescent="0.2">
      <c r="A244" s="185"/>
      <c r="B244" s="185" t="s">
        <v>885</v>
      </c>
      <c r="C244" s="126">
        <v>0</v>
      </c>
      <c r="D244" s="126">
        <v>43084.73</v>
      </c>
      <c r="E244" s="206"/>
      <c r="F244" s="206"/>
      <c r="G244" s="126"/>
      <c r="H244" s="126"/>
      <c r="I244" s="126"/>
      <c r="J244" s="14"/>
      <c r="K244" s="341"/>
    </row>
    <row r="245" spans="1:11" ht="30" customHeight="1" x14ac:dyDescent="0.2">
      <c r="A245" s="185"/>
      <c r="B245" s="185" t="s">
        <v>886</v>
      </c>
      <c r="C245" s="126">
        <v>0</v>
      </c>
      <c r="D245" s="126">
        <v>861694.74</v>
      </c>
      <c r="E245" s="206"/>
      <c r="F245" s="206"/>
      <c r="G245" s="126"/>
      <c r="H245" s="126"/>
      <c r="I245" s="126"/>
      <c r="J245" s="14"/>
      <c r="K245" s="341"/>
    </row>
    <row r="246" spans="1:11" s="3" customFormat="1" ht="30" customHeight="1" x14ac:dyDescent="0.2">
      <c r="A246" s="180"/>
      <c r="B246" s="237" t="s">
        <v>892</v>
      </c>
      <c r="C246" s="130">
        <v>0</v>
      </c>
      <c r="D246" s="130">
        <f>2226747.48</f>
        <v>2226747.48</v>
      </c>
      <c r="E246" s="130"/>
      <c r="F246" s="130"/>
      <c r="G246" s="126"/>
      <c r="H246" s="126"/>
      <c r="I246" s="126"/>
      <c r="J246" s="6"/>
    </row>
    <row r="247" spans="1:11" s="3" customFormat="1" ht="30" customHeight="1" x14ac:dyDescent="0.2">
      <c r="A247" s="346"/>
      <c r="B247" s="154" t="s">
        <v>578</v>
      </c>
      <c r="C247" s="196">
        <v>2000000</v>
      </c>
      <c r="D247" s="196">
        <v>2000000</v>
      </c>
      <c r="E247" s="483"/>
      <c r="F247" s="483"/>
      <c r="G247" s="126"/>
      <c r="H247" s="126"/>
      <c r="I247" s="126"/>
      <c r="J247" s="14"/>
    </row>
    <row r="248" spans="1:11" s="3" customFormat="1" ht="30" customHeight="1" x14ac:dyDescent="0.2">
      <c r="A248" s="123">
        <v>4222</v>
      </c>
      <c r="B248" s="345" t="s">
        <v>577</v>
      </c>
      <c r="C248" s="344">
        <f>SUM(C249:C252)</f>
        <v>9260000</v>
      </c>
      <c r="D248" s="344">
        <f>SUM(D249:D252)</f>
        <v>8936854.4199999999</v>
      </c>
      <c r="E248" s="121"/>
      <c r="F248" s="121"/>
      <c r="G248" s="120"/>
      <c r="H248" s="120"/>
      <c r="I248" s="120"/>
      <c r="J248" s="14"/>
    </row>
    <row r="249" spans="1:11" s="2" customFormat="1" ht="30" customHeight="1" x14ac:dyDescent="0.2">
      <c r="A249" s="340"/>
      <c r="B249" s="339" t="s">
        <v>576</v>
      </c>
      <c r="C249" s="126">
        <v>3700000</v>
      </c>
      <c r="D249" s="126">
        <f>3700000+(3436854.42-3700000)</f>
        <v>3436854.42</v>
      </c>
      <c r="E249" s="297"/>
      <c r="F249" s="130"/>
      <c r="G249" s="126"/>
      <c r="H249" s="126"/>
      <c r="I249" s="126"/>
      <c r="J249" s="14"/>
    </row>
    <row r="250" spans="1:11" s="3" customFormat="1" ht="30" customHeight="1" x14ac:dyDescent="0.2">
      <c r="A250" s="343"/>
      <c r="B250" s="342" t="s">
        <v>575</v>
      </c>
      <c r="C250" s="126">
        <v>0</v>
      </c>
      <c r="D250" s="126">
        <v>0</v>
      </c>
      <c r="E250" s="297"/>
      <c r="F250" s="130"/>
      <c r="G250" s="126"/>
      <c r="H250" s="126"/>
      <c r="I250" s="126"/>
      <c r="J250" s="14"/>
      <c r="K250" s="341"/>
    </row>
    <row r="251" spans="1:11" s="3" customFormat="1" ht="30" customHeight="1" x14ac:dyDescent="0.2">
      <c r="A251" s="343"/>
      <c r="B251" s="342" t="s">
        <v>574</v>
      </c>
      <c r="C251" s="126">
        <v>5500000</v>
      </c>
      <c r="D251" s="126">
        <v>5500000</v>
      </c>
      <c r="E251" s="297"/>
      <c r="F251" s="130"/>
      <c r="G251" s="126"/>
      <c r="H251" s="126"/>
      <c r="I251" s="126"/>
      <c r="J251" s="14"/>
      <c r="K251" s="341"/>
    </row>
    <row r="252" spans="1:11" s="2" customFormat="1" ht="30" customHeight="1" x14ac:dyDescent="0.2">
      <c r="A252" s="340"/>
      <c r="B252" s="339" t="s">
        <v>573</v>
      </c>
      <c r="C252" s="126">
        <v>60000</v>
      </c>
      <c r="D252" s="126">
        <f>60000-60000</f>
        <v>0</v>
      </c>
      <c r="E252" s="297"/>
      <c r="F252" s="130"/>
      <c r="G252" s="126"/>
      <c r="H252" s="126"/>
      <c r="I252" s="126"/>
      <c r="J252" s="14"/>
    </row>
    <row r="253" spans="1:11" s="3" customFormat="1" ht="30" customHeight="1" thickBot="1" x14ac:dyDescent="0.25">
      <c r="A253" s="338"/>
      <c r="B253" s="337"/>
      <c r="C253" s="336"/>
      <c r="D253" s="336"/>
      <c r="E253" s="302"/>
      <c r="F253" s="117"/>
      <c r="G253" s="151"/>
      <c r="H253" s="151"/>
      <c r="I253" s="151"/>
      <c r="J253" s="14"/>
    </row>
    <row r="254" spans="1:11" s="587" customFormat="1" ht="30" customHeight="1" thickBot="1" x14ac:dyDescent="0.4">
      <c r="A254" s="584"/>
      <c r="B254" s="324" t="s">
        <v>572</v>
      </c>
      <c r="C254" s="585">
        <f>SUM(C52+C86+C177+C199)</f>
        <v>706565336.28349996</v>
      </c>
      <c r="D254" s="585">
        <f>SUM(D52+D86+D177+D199)</f>
        <v>720981470.04350007</v>
      </c>
      <c r="E254" s="586"/>
      <c r="F254" s="586"/>
      <c r="G254" s="586"/>
      <c r="H254" s="586"/>
      <c r="I254" s="586"/>
      <c r="J254" s="574"/>
    </row>
    <row r="255" spans="1:11" s="3" customFormat="1" ht="30" customHeight="1" thickBot="1" x14ac:dyDescent="0.3">
      <c r="A255" s="232"/>
      <c r="B255" s="334"/>
      <c r="C255" s="317"/>
      <c r="D255" s="317"/>
      <c r="E255" s="511"/>
      <c r="F255" s="317"/>
      <c r="G255" s="317"/>
      <c r="H255" s="317"/>
      <c r="I255" s="317"/>
      <c r="J255" s="14"/>
    </row>
    <row r="256" spans="1:11" s="572" customFormat="1" ht="30" customHeight="1" thickBot="1" x14ac:dyDescent="0.35">
      <c r="A256" s="335"/>
      <c r="B256" s="139" t="s">
        <v>571</v>
      </c>
      <c r="C256" s="323">
        <f>SUM(C257:C261)</f>
        <v>195741180.47</v>
      </c>
      <c r="D256" s="323">
        <f>SUM(D257:D261)</f>
        <v>188545980.47</v>
      </c>
      <c r="E256" s="571"/>
      <c r="F256" s="559"/>
      <c r="G256" s="571"/>
      <c r="H256" s="571"/>
      <c r="I256" s="571"/>
      <c r="J256" s="574"/>
    </row>
    <row r="257" spans="1:10" ht="30" customHeight="1" x14ac:dyDescent="0.2">
      <c r="A257" s="248">
        <v>8115</v>
      </c>
      <c r="B257" s="333" t="s">
        <v>570</v>
      </c>
      <c r="C257" s="120">
        <v>46346393.390000001</v>
      </c>
      <c r="D257" s="120">
        <f>46346393.39-7195200</f>
        <v>39151193.390000001</v>
      </c>
      <c r="E257" s="120"/>
      <c r="F257" s="120"/>
      <c r="G257" s="120"/>
      <c r="H257" s="120"/>
      <c r="I257" s="120"/>
      <c r="J257" s="6"/>
    </row>
    <row r="258" spans="1:10" ht="30" customHeight="1" x14ac:dyDescent="0.2">
      <c r="A258" s="30">
        <v>8117</v>
      </c>
      <c r="B258" s="332" t="s">
        <v>569</v>
      </c>
      <c r="C258" s="120">
        <v>0</v>
      </c>
      <c r="D258" s="120">
        <v>0</v>
      </c>
      <c r="E258" s="121"/>
      <c r="F258" s="121"/>
      <c r="G258" s="120"/>
      <c r="H258" s="120"/>
      <c r="I258" s="120"/>
      <c r="J258" s="14"/>
    </row>
    <row r="259" spans="1:10" ht="30" customHeight="1" x14ac:dyDescent="0.2">
      <c r="A259" s="30">
        <v>8123</v>
      </c>
      <c r="B259" s="332" t="s">
        <v>568</v>
      </c>
      <c r="C259" s="120">
        <v>100000000</v>
      </c>
      <c r="D259" s="120">
        <v>100000000</v>
      </c>
      <c r="E259" s="121"/>
      <c r="F259" s="121"/>
      <c r="G259" s="120"/>
      <c r="H259" s="120"/>
      <c r="I259" s="120"/>
      <c r="J259" s="6"/>
    </row>
    <row r="260" spans="1:10" ht="30" customHeight="1" x14ac:dyDescent="0.2">
      <c r="A260" s="30">
        <v>8125</v>
      </c>
      <c r="B260" s="332" t="s">
        <v>567</v>
      </c>
      <c r="C260" s="120">
        <v>50000000</v>
      </c>
      <c r="D260" s="120">
        <v>50000000</v>
      </c>
      <c r="E260" s="122"/>
      <c r="F260" s="127"/>
      <c r="G260" s="120"/>
      <c r="H260" s="121"/>
      <c r="I260" s="120"/>
      <c r="J260" s="6"/>
    </row>
    <row r="261" spans="1:10" s="330" customFormat="1" ht="30" customHeight="1" x14ac:dyDescent="0.4">
      <c r="A261" s="239">
        <v>8901</v>
      </c>
      <c r="B261" s="331" t="s">
        <v>566</v>
      </c>
      <c r="C261" s="122">
        <f>SUM(C262:C263)</f>
        <v>-605212.92000000004</v>
      </c>
      <c r="D261" s="122">
        <f>SUM(D262:D263)</f>
        <v>-605212.92000000004</v>
      </c>
      <c r="E261" s="122"/>
      <c r="F261" s="127"/>
      <c r="G261" s="120"/>
      <c r="H261" s="121"/>
      <c r="I261" s="120"/>
      <c r="J261" s="6"/>
    </row>
    <row r="262" spans="1:10" s="328" customFormat="1" ht="30" customHeight="1" x14ac:dyDescent="0.35">
      <c r="A262" s="307"/>
      <c r="B262" s="329" t="s">
        <v>565</v>
      </c>
      <c r="C262" s="127">
        <v>-605212.92000000004</v>
      </c>
      <c r="D262" s="127">
        <v>-605212.92000000004</v>
      </c>
      <c r="E262" s="127"/>
      <c r="F262" s="127"/>
      <c r="G262" s="126"/>
      <c r="H262" s="130"/>
      <c r="I262" s="126"/>
      <c r="J262" s="6"/>
    </row>
    <row r="263" spans="1:10" ht="30" customHeight="1" x14ac:dyDescent="0.2">
      <c r="A263" s="237"/>
      <c r="B263" s="237" t="s">
        <v>564</v>
      </c>
      <c r="C263" s="126">
        <v>0</v>
      </c>
      <c r="D263" s="126">
        <v>0</v>
      </c>
      <c r="E263" s="130"/>
      <c r="F263" s="130"/>
      <c r="G263" s="126"/>
      <c r="H263" s="130"/>
      <c r="I263" s="126"/>
      <c r="J263" s="6"/>
    </row>
    <row r="264" spans="1:10" ht="30" customHeight="1" thickBot="1" x14ac:dyDescent="0.25">
      <c r="A264" s="327"/>
      <c r="B264" s="327"/>
      <c r="C264" s="326"/>
      <c r="D264" s="326"/>
      <c r="E264" s="486"/>
      <c r="F264" s="151"/>
      <c r="G264" s="486"/>
      <c r="H264" s="486"/>
      <c r="I264" s="486"/>
      <c r="J264" s="6"/>
    </row>
    <row r="265" spans="1:10" s="322" customFormat="1" ht="30" customHeight="1" thickBot="1" x14ac:dyDescent="0.45">
      <c r="A265" s="325"/>
      <c r="B265" s="324" t="s">
        <v>563</v>
      </c>
      <c r="C265" s="588">
        <f>SUM(C254+C256)</f>
        <v>902306516.75349998</v>
      </c>
      <c r="D265" s="588">
        <f>SUM(D254+D256)</f>
        <v>909527450.51350009</v>
      </c>
      <c r="E265" s="586"/>
      <c r="F265" s="589"/>
      <c r="G265" s="586"/>
      <c r="H265" s="586"/>
      <c r="I265" s="586"/>
      <c r="J265" s="6"/>
    </row>
    <row r="266" spans="1:10" s="17" customFormat="1" ht="30" customHeight="1" thickBot="1" x14ac:dyDescent="0.45">
      <c r="A266" s="321"/>
      <c r="B266" s="320"/>
      <c r="C266" s="319"/>
      <c r="D266" s="319"/>
      <c r="E266" s="389"/>
      <c r="F266" s="317"/>
      <c r="G266" s="389"/>
      <c r="H266" s="389"/>
      <c r="I266" s="389"/>
      <c r="J266" s="6"/>
    </row>
    <row r="267" spans="1:10" s="3" customFormat="1" ht="30" customHeight="1" thickBot="1" x14ac:dyDescent="0.35">
      <c r="A267" s="318"/>
      <c r="B267" s="139" t="s">
        <v>562</v>
      </c>
      <c r="C267" s="317"/>
      <c r="D267" s="317"/>
      <c r="E267" s="317"/>
      <c r="F267" s="317"/>
      <c r="G267" s="317"/>
      <c r="H267" s="317"/>
      <c r="I267" s="317"/>
      <c r="J267" s="6"/>
    </row>
    <row r="268" spans="1:10" ht="30" customHeight="1" thickBot="1" x14ac:dyDescent="0.35">
      <c r="A268" s="316"/>
      <c r="B268" s="139" t="s">
        <v>561</v>
      </c>
      <c r="C268" s="457">
        <f>C269+C282+C298+C304</f>
        <v>47057788.329999998</v>
      </c>
      <c r="D268" s="457">
        <f>D269+D282+D298+D304</f>
        <v>48392506.829999998</v>
      </c>
      <c r="E268" s="575"/>
      <c r="F268" s="575"/>
      <c r="G268" s="571"/>
      <c r="H268" s="571"/>
      <c r="I268" s="571"/>
      <c r="J268" s="6"/>
    </row>
    <row r="269" spans="1:10" ht="30" customHeight="1" thickBot="1" x14ac:dyDescent="0.25">
      <c r="A269" s="226"/>
      <c r="B269" s="226" t="s">
        <v>560</v>
      </c>
      <c r="C269" s="314">
        <f>SUM(C270+C274+C279)</f>
        <v>1985000</v>
      </c>
      <c r="D269" s="314">
        <f>SUM(D270+D274+D279)</f>
        <v>1985000</v>
      </c>
      <c r="E269" s="312"/>
      <c r="F269" s="312"/>
      <c r="G269" s="479"/>
      <c r="H269" s="479"/>
      <c r="I269" s="583"/>
      <c r="J269" s="6"/>
    </row>
    <row r="270" spans="1:10" ht="30" customHeight="1" x14ac:dyDescent="0.2">
      <c r="A270" s="224">
        <v>2310</v>
      </c>
      <c r="B270" s="224" t="s">
        <v>559</v>
      </c>
      <c r="C270" s="217">
        <f>SUM(C271:C273)</f>
        <v>265000</v>
      </c>
      <c r="D270" s="217">
        <f>SUM(D271:D273)</f>
        <v>265000</v>
      </c>
      <c r="E270" s="313"/>
      <c r="F270" s="514"/>
      <c r="G270" s="120"/>
      <c r="H270" s="126"/>
      <c r="I270" s="126"/>
      <c r="J270" s="6"/>
    </row>
    <row r="271" spans="1:10" ht="30" customHeight="1" x14ac:dyDescent="0.2">
      <c r="A271" s="293" t="s">
        <v>558</v>
      </c>
      <c r="B271" s="155" t="s">
        <v>557</v>
      </c>
      <c r="C271" s="126">
        <v>15000</v>
      </c>
      <c r="D271" s="126">
        <v>15000</v>
      </c>
      <c r="E271" s="127"/>
      <c r="F271" s="127"/>
      <c r="G271" s="126"/>
      <c r="H271" s="126"/>
      <c r="I271" s="126"/>
      <c r="J271" s="6"/>
    </row>
    <row r="272" spans="1:10" ht="30" customHeight="1" x14ac:dyDescent="0.2">
      <c r="A272" s="293" t="s">
        <v>556</v>
      </c>
      <c r="B272" s="155" t="s">
        <v>555</v>
      </c>
      <c r="C272" s="126">
        <v>150000</v>
      </c>
      <c r="D272" s="126">
        <v>150000</v>
      </c>
      <c r="E272" s="127"/>
      <c r="F272" s="127"/>
      <c r="G272" s="126"/>
      <c r="H272" s="126"/>
      <c r="I272" s="126"/>
      <c r="J272" s="6"/>
    </row>
    <row r="273" spans="1:10" ht="30" customHeight="1" x14ac:dyDescent="0.2">
      <c r="A273" s="293" t="s">
        <v>554</v>
      </c>
      <c r="B273" s="155" t="s">
        <v>553</v>
      </c>
      <c r="C273" s="126">
        <v>100000</v>
      </c>
      <c r="D273" s="126">
        <v>100000</v>
      </c>
      <c r="E273" s="590"/>
      <c r="F273" s="127"/>
      <c r="G273" s="126"/>
      <c r="H273" s="126"/>
      <c r="I273" s="126"/>
      <c r="J273" s="6"/>
    </row>
    <row r="274" spans="1:10" ht="30" customHeight="1" x14ac:dyDescent="0.2">
      <c r="A274" s="123">
        <v>2321</v>
      </c>
      <c r="B274" s="123" t="s">
        <v>552</v>
      </c>
      <c r="C274" s="122">
        <f>SUM(C275:C278)</f>
        <v>1470000</v>
      </c>
      <c r="D274" s="122">
        <f>SUM(D275:D278)</f>
        <v>1470000</v>
      </c>
      <c r="E274" s="516"/>
      <c r="F274" s="122"/>
      <c r="G274" s="120"/>
      <c r="H274" s="120"/>
      <c r="I274" s="120"/>
      <c r="J274" s="6"/>
    </row>
    <row r="275" spans="1:10" ht="30" customHeight="1" x14ac:dyDescent="0.2">
      <c r="A275" s="293" t="s">
        <v>551</v>
      </c>
      <c r="B275" s="155" t="s">
        <v>550</v>
      </c>
      <c r="C275" s="126">
        <v>170000</v>
      </c>
      <c r="D275" s="126">
        <v>170000</v>
      </c>
      <c r="E275" s="133"/>
      <c r="F275" s="133"/>
      <c r="G275" s="126"/>
      <c r="H275" s="126"/>
      <c r="I275" s="126"/>
      <c r="J275" s="6"/>
    </row>
    <row r="276" spans="1:10" ht="30" customHeight="1" x14ac:dyDescent="0.2">
      <c r="A276" s="293" t="s">
        <v>549</v>
      </c>
      <c r="B276" s="155" t="s">
        <v>548</v>
      </c>
      <c r="C276" s="126">
        <v>500000</v>
      </c>
      <c r="D276" s="126">
        <v>500000</v>
      </c>
      <c r="E276" s="130"/>
      <c r="F276" s="130"/>
      <c r="G276" s="126"/>
      <c r="H276" s="126"/>
      <c r="I276" s="126"/>
      <c r="J276" s="6"/>
    </row>
    <row r="277" spans="1:10" ht="30" customHeight="1" x14ac:dyDescent="0.2">
      <c r="A277" s="293" t="s">
        <v>547</v>
      </c>
      <c r="B277" s="155" t="s">
        <v>541</v>
      </c>
      <c r="C277" s="126">
        <v>500000</v>
      </c>
      <c r="D277" s="126">
        <v>500000</v>
      </c>
      <c r="E277" s="130"/>
      <c r="F277" s="130"/>
      <c r="G277" s="126"/>
      <c r="H277" s="126"/>
      <c r="I277" s="126"/>
      <c r="J277" s="6"/>
    </row>
    <row r="278" spans="1:10" s="2" customFormat="1" ht="30" customHeight="1" x14ac:dyDescent="0.2">
      <c r="A278" s="293" t="s">
        <v>547</v>
      </c>
      <c r="B278" s="166" t="s">
        <v>546</v>
      </c>
      <c r="C278" s="126">
        <v>300000</v>
      </c>
      <c r="D278" s="126">
        <v>300000</v>
      </c>
      <c r="E278" s="126"/>
      <c r="F278" s="126"/>
      <c r="G278" s="126"/>
      <c r="H278" s="126"/>
      <c r="I278" s="126"/>
      <c r="J278" s="6"/>
    </row>
    <row r="279" spans="1:10" ht="30" customHeight="1" x14ac:dyDescent="0.2">
      <c r="A279" s="123">
        <v>2333</v>
      </c>
      <c r="B279" s="123" t="s">
        <v>545</v>
      </c>
      <c r="C279" s="122">
        <f>SUM(C280:C281)</f>
        <v>250000</v>
      </c>
      <c r="D279" s="122">
        <f>SUM(D280:D281)</f>
        <v>250000</v>
      </c>
      <c r="E279" s="136"/>
      <c r="F279" s="133"/>
      <c r="G279" s="120"/>
      <c r="H279" s="120"/>
      <c r="I279" s="120"/>
      <c r="J279" s="6"/>
    </row>
    <row r="280" spans="1:10" ht="30" customHeight="1" x14ac:dyDescent="0.2">
      <c r="A280" s="293" t="s">
        <v>544</v>
      </c>
      <c r="B280" s="155" t="s">
        <v>543</v>
      </c>
      <c r="C280" s="126">
        <v>100000</v>
      </c>
      <c r="D280" s="126">
        <v>100000</v>
      </c>
      <c r="E280" s="130"/>
      <c r="F280" s="130"/>
      <c r="G280" s="126"/>
      <c r="H280" s="126"/>
      <c r="I280" s="126"/>
      <c r="J280" s="14"/>
    </row>
    <row r="281" spans="1:10" ht="30" customHeight="1" thickBot="1" x14ac:dyDescent="0.25">
      <c r="A281" s="293" t="s">
        <v>542</v>
      </c>
      <c r="B281" s="155" t="s">
        <v>541</v>
      </c>
      <c r="C281" s="126">
        <v>150000</v>
      </c>
      <c r="D281" s="126">
        <v>150000</v>
      </c>
      <c r="E281" s="152"/>
      <c r="F281" s="152"/>
      <c r="G281" s="126"/>
      <c r="H281" s="151"/>
      <c r="I281" s="151"/>
      <c r="J281" s="14"/>
    </row>
    <row r="282" spans="1:10" s="3" customFormat="1" ht="30" customHeight="1" thickBot="1" x14ac:dyDescent="0.3">
      <c r="A282" s="158"/>
      <c r="B282" s="158" t="s">
        <v>540</v>
      </c>
      <c r="C282" s="312">
        <f>SUM(C283+C291+C295)</f>
        <v>27050000</v>
      </c>
      <c r="D282" s="312">
        <f>SUM(D283+D291+D295)</f>
        <v>28337618.5</v>
      </c>
      <c r="E282" s="312"/>
      <c r="F282" s="312"/>
      <c r="G282" s="479"/>
      <c r="H282" s="479"/>
      <c r="I282" s="479"/>
      <c r="J282" s="14"/>
    </row>
    <row r="283" spans="1:10" s="3" customFormat="1" ht="30" customHeight="1" x14ac:dyDescent="0.2">
      <c r="A283" s="118">
        <v>2212</v>
      </c>
      <c r="B283" s="311" t="s">
        <v>539</v>
      </c>
      <c r="C283" s="217">
        <f>SUM(C284,C287:C290)</f>
        <v>26600000</v>
      </c>
      <c r="D283" s="217">
        <f>SUM(D284,D287:D290)</f>
        <v>26732490</v>
      </c>
      <c r="E283" s="591"/>
      <c r="F283" s="46"/>
      <c r="G283" s="120"/>
      <c r="H283" s="151"/>
      <c r="I283" s="130"/>
      <c r="J283" s="6"/>
    </row>
    <row r="284" spans="1:10" s="2" customFormat="1" ht="30" customHeight="1" x14ac:dyDescent="0.2">
      <c r="A284" s="131"/>
      <c r="B284" s="310" t="s">
        <v>538</v>
      </c>
      <c r="C284" s="127">
        <f>SUM(C285:C286)</f>
        <v>2400000</v>
      </c>
      <c r="D284" s="127">
        <f>SUM(D285:D286)</f>
        <v>2400000</v>
      </c>
      <c r="E284" s="130"/>
      <c r="F284" s="130"/>
      <c r="G284" s="126"/>
      <c r="H284" s="130"/>
      <c r="I284" s="130"/>
      <c r="J284" s="14"/>
    </row>
    <row r="285" spans="1:10" s="3" customFormat="1" ht="30" customHeight="1" x14ac:dyDescent="0.2">
      <c r="A285" s="293" t="s">
        <v>536</v>
      </c>
      <c r="B285" s="309" t="s">
        <v>537</v>
      </c>
      <c r="C285" s="126">
        <v>2200000</v>
      </c>
      <c r="D285" s="126">
        <v>2200000</v>
      </c>
      <c r="E285" s="126"/>
      <c r="F285" s="126"/>
      <c r="G285" s="126"/>
      <c r="H285" s="126"/>
      <c r="I285" s="126"/>
      <c r="J285" s="14"/>
    </row>
    <row r="286" spans="1:10" s="3" customFormat="1" ht="30" customHeight="1" x14ac:dyDescent="0.2">
      <c r="A286" s="293" t="s">
        <v>536</v>
      </c>
      <c r="B286" s="309" t="s">
        <v>535</v>
      </c>
      <c r="C286" s="126">
        <v>200000</v>
      </c>
      <c r="D286" s="126">
        <v>200000</v>
      </c>
      <c r="E286" s="297"/>
      <c r="F286" s="130"/>
      <c r="G286" s="126"/>
      <c r="H286" s="126"/>
      <c r="I286" s="126"/>
      <c r="J286" s="14"/>
    </row>
    <row r="287" spans="1:10" s="3" customFormat="1" ht="30" customHeight="1" x14ac:dyDescent="0.2">
      <c r="A287" s="293" t="s">
        <v>533</v>
      </c>
      <c r="B287" s="237" t="s">
        <v>534</v>
      </c>
      <c r="C287" s="126">
        <v>3500000</v>
      </c>
      <c r="D287" s="126">
        <f>3500000+42500</f>
        <v>3542500</v>
      </c>
      <c r="E287" s="297"/>
      <c r="F287" s="130"/>
      <c r="G287" s="126"/>
      <c r="H287" s="126"/>
      <c r="I287" s="126"/>
      <c r="J287" s="14"/>
    </row>
    <row r="288" spans="1:10" s="3" customFormat="1" ht="30" customHeight="1" x14ac:dyDescent="0.2">
      <c r="A288" s="293" t="s">
        <v>533</v>
      </c>
      <c r="B288" s="237" t="s">
        <v>532</v>
      </c>
      <c r="C288" s="126">
        <v>18200000</v>
      </c>
      <c r="D288" s="126">
        <f>18200000+87350</f>
        <v>18287350</v>
      </c>
      <c r="E288" s="297"/>
      <c r="F288" s="130"/>
      <c r="G288" s="126"/>
      <c r="H288" s="126"/>
      <c r="I288" s="126"/>
      <c r="J288" s="14"/>
    </row>
    <row r="289" spans="1:10" s="3" customFormat="1" ht="30" customHeight="1" x14ac:dyDescent="0.2">
      <c r="A289" s="293" t="s">
        <v>463</v>
      </c>
      <c r="B289" s="237" t="s">
        <v>531</v>
      </c>
      <c r="C289" s="126">
        <v>500000</v>
      </c>
      <c r="D289" s="126">
        <f>500000+2640</f>
        <v>502640</v>
      </c>
      <c r="E289" s="196"/>
      <c r="F289" s="484"/>
      <c r="G289" s="126"/>
      <c r="H289" s="126"/>
      <c r="I289" s="126"/>
      <c r="J289" s="14"/>
    </row>
    <row r="290" spans="1:10" s="3" customFormat="1" ht="30" customHeight="1" x14ac:dyDescent="0.2">
      <c r="A290" s="293" t="s">
        <v>857</v>
      </c>
      <c r="B290" s="237" t="s">
        <v>858</v>
      </c>
      <c r="C290" s="126">
        <f>500000+1500000</f>
        <v>2000000</v>
      </c>
      <c r="D290" s="126">
        <f>500000+1500000</f>
        <v>2000000</v>
      </c>
      <c r="E290" s="485"/>
      <c r="F290" s="484"/>
      <c r="G290" s="126"/>
      <c r="H290" s="126"/>
      <c r="I290" s="126"/>
      <c r="J290" s="14"/>
    </row>
    <row r="291" spans="1:10" s="3" customFormat="1" ht="30" customHeight="1" x14ac:dyDescent="0.2">
      <c r="A291" s="123">
        <v>2219</v>
      </c>
      <c r="B291" s="308" t="s">
        <v>530</v>
      </c>
      <c r="C291" s="122">
        <f>SUM(C292:C294)</f>
        <v>300000</v>
      </c>
      <c r="D291" s="122">
        <f>SUM(D292:D294)</f>
        <v>1455128.5</v>
      </c>
      <c r="E291" s="121"/>
      <c r="F291" s="121"/>
      <c r="G291" s="120"/>
      <c r="H291" s="120"/>
      <c r="I291" s="120"/>
      <c r="J291" s="14"/>
    </row>
    <row r="292" spans="1:10" s="3" customFormat="1" ht="30" customHeight="1" x14ac:dyDescent="0.2">
      <c r="A292" s="293" t="s">
        <v>434</v>
      </c>
      <c r="B292" s="237" t="s">
        <v>529</v>
      </c>
      <c r="C292" s="126">
        <v>100000</v>
      </c>
      <c r="D292" s="126">
        <v>100000</v>
      </c>
      <c r="E292" s="130"/>
      <c r="F292" s="130"/>
      <c r="G292" s="126"/>
      <c r="H292" s="126"/>
      <c r="I292" s="126"/>
      <c r="J292" s="14"/>
    </row>
    <row r="293" spans="1:10" s="3" customFormat="1" ht="30" customHeight="1" x14ac:dyDescent="0.2">
      <c r="A293" s="293" t="s">
        <v>433</v>
      </c>
      <c r="B293" s="237" t="s">
        <v>528</v>
      </c>
      <c r="C293" s="126">
        <v>200000</v>
      </c>
      <c r="D293" s="126">
        <v>200000</v>
      </c>
      <c r="E293" s="130"/>
      <c r="F293" s="130"/>
      <c r="G293" s="126"/>
      <c r="H293" s="126"/>
      <c r="I293" s="126"/>
      <c r="J293" s="14"/>
    </row>
    <row r="294" spans="1:10" s="3" customFormat="1" ht="30" customHeight="1" x14ac:dyDescent="0.2">
      <c r="A294" s="293" t="s">
        <v>912</v>
      </c>
      <c r="B294" s="237" t="s">
        <v>913</v>
      </c>
      <c r="C294" s="126">
        <v>0</v>
      </c>
      <c r="D294" s="126">
        <v>1155128.5</v>
      </c>
      <c r="E294" s="130"/>
      <c r="F294" s="130"/>
      <c r="G294" s="126"/>
      <c r="H294" s="126"/>
      <c r="I294" s="126"/>
      <c r="J294" s="14"/>
    </row>
    <row r="295" spans="1:10" ht="30" customHeight="1" x14ac:dyDescent="0.2">
      <c r="A295" s="123">
        <v>2221</v>
      </c>
      <c r="B295" s="180" t="s">
        <v>527</v>
      </c>
      <c r="C295" s="136">
        <f>SUM(C296:C297)</f>
        <v>150000</v>
      </c>
      <c r="D295" s="136">
        <f>SUM(D296:D297)</f>
        <v>150000</v>
      </c>
      <c r="E295" s="486"/>
      <c r="F295" s="151"/>
      <c r="G295" s="120"/>
      <c r="H295" s="120"/>
      <c r="I295" s="120"/>
      <c r="J295" s="14"/>
    </row>
    <row r="296" spans="1:10" ht="30" customHeight="1" x14ac:dyDescent="0.2">
      <c r="A296" s="288" t="s">
        <v>526</v>
      </c>
      <c r="B296" s="307" t="s">
        <v>525</v>
      </c>
      <c r="C296" s="126">
        <v>60000</v>
      </c>
      <c r="D296" s="126">
        <v>60000</v>
      </c>
      <c r="E296" s="297"/>
      <c r="F296" s="130"/>
      <c r="G296" s="126"/>
      <c r="H296" s="126"/>
      <c r="I296" s="130"/>
      <c r="J296" s="14"/>
    </row>
    <row r="297" spans="1:10" ht="30" customHeight="1" thickBot="1" x14ac:dyDescent="0.25">
      <c r="A297" s="306" t="s">
        <v>524</v>
      </c>
      <c r="B297" s="305" t="s">
        <v>523</v>
      </c>
      <c r="C297" s="126">
        <v>90000</v>
      </c>
      <c r="D297" s="126">
        <v>90000</v>
      </c>
      <c r="E297" s="302"/>
      <c r="F297" s="117"/>
      <c r="G297" s="126"/>
      <c r="H297" s="151"/>
      <c r="I297" s="117"/>
      <c r="J297" s="14"/>
    </row>
    <row r="298" spans="1:10" ht="30" customHeight="1" thickBot="1" x14ac:dyDescent="0.3">
      <c r="A298" s="158"/>
      <c r="B298" s="158" t="s">
        <v>522</v>
      </c>
      <c r="C298" s="157">
        <f>C299</f>
        <v>2334000</v>
      </c>
      <c r="D298" s="157">
        <f>D299</f>
        <v>2334000</v>
      </c>
      <c r="E298" s="312"/>
      <c r="F298" s="312"/>
      <c r="G298" s="479"/>
      <c r="H298" s="479"/>
      <c r="I298" s="479"/>
      <c r="J298" s="14"/>
    </row>
    <row r="299" spans="1:10" ht="30" customHeight="1" x14ac:dyDescent="0.2">
      <c r="A299" s="224">
        <v>3639</v>
      </c>
      <c r="B299" s="224" t="s">
        <v>521</v>
      </c>
      <c r="C299" s="217">
        <f>SUM(C300:C303)</f>
        <v>2334000</v>
      </c>
      <c r="D299" s="217">
        <f>SUM(D300:D303)</f>
        <v>2334000</v>
      </c>
      <c r="E299" s="539"/>
      <c r="F299" s="539"/>
      <c r="G299" s="120"/>
      <c r="H299" s="486"/>
      <c r="I299" s="486"/>
      <c r="J299" s="14"/>
    </row>
    <row r="300" spans="1:10" ht="30" customHeight="1" x14ac:dyDescent="0.2">
      <c r="A300" s="288" t="s">
        <v>520</v>
      </c>
      <c r="B300" s="304" t="s">
        <v>519</v>
      </c>
      <c r="C300" s="303">
        <v>1600000</v>
      </c>
      <c r="D300" s="303">
        <v>1600000</v>
      </c>
      <c r="E300" s="130"/>
      <c r="F300" s="130"/>
      <c r="G300" s="126"/>
      <c r="H300" s="130"/>
      <c r="I300" s="130"/>
      <c r="J300" s="14"/>
    </row>
    <row r="301" spans="1:10" ht="30" customHeight="1" x14ac:dyDescent="0.2">
      <c r="A301" s="288" t="s">
        <v>517</v>
      </c>
      <c r="B301" s="155" t="s">
        <v>518</v>
      </c>
      <c r="C301" s="126">
        <v>150000</v>
      </c>
      <c r="D301" s="126">
        <v>150000</v>
      </c>
      <c r="E301" s="126"/>
      <c r="F301" s="126"/>
      <c r="G301" s="126"/>
      <c r="H301" s="126"/>
      <c r="I301" s="126"/>
      <c r="J301" s="14"/>
    </row>
    <row r="302" spans="1:10" ht="30" customHeight="1" x14ac:dyDescent="0.2">
      <c r="A302" s="287" t="s">
        <v>517</v>
      </c>
      <c r="B302" s="154" t="s">
        <v>516</v>
      </c>
      <c r="C302" s="126">
        <v>50000</v>
      </c>
      <c r="D302" s="126">
        <v>50000</v>
      </c>
      <c r="E302" s="130"/>
      <c r="F302" s="130"/>
      <c r="G302" s="126"/>
      <c r="H302" s="126"/>
      <c r="I302" s="126"/>
      <c r="J302" s="14"/>
    </row>
    <row r="303" spans="1:10" ht="30" customHeight="1" thickBot="1" x14ac:dyDescent="0.25">
      <c r="A303" s="301" t="s">
        <v>860</v>
      </c>
      <c r="B303" s="155" t="s">
        <v>859</v>
      </c>
      <c r="C303" s="126">
        <f>50000+10000+4000+50000+110000+250000+20000+40000</f>
        <v>534000</v>
      </c>
      <c r="D303" s="126">
        <f>50000+10000+4000+50000+110000+250000+20000+40000</f>
        <v>534000</v>
      </c>
      <c r="E303" s="130"/>
      <c r="F303" s="130"/>
      <c r="G303" s="126"/>
      <c r="H303" s="126"/>
      <c r="I303" s="126"/>
      <c r="J303" s="14"/>
    </row>
    <row r="304" spans="1:10" ht="30" customHeight="1" thickBot="1" x14ac:dyDescent="0.3">
      <c r="A304" s="158"/>
      <c r="B304" s="158" t="s">
        <v>515</v>
      </c>
      <c r="C304" s="300">
        <f>SUM(C305,C307,C310,C314,C318,C323,C326)</f>
        <v>15688788.33</v>
      </c>
      <c r="D304" s="300">
        <f>SUM(D305,D307,D310,D314,D318,D323,D326)</f>
        <v>15735888.33</v>
      </c>
      <c r="E304" s="387"/>
      <c r="F304" s="387"/>
      <c r="G304" s="479"/>
      <c r="H304" s="479"/>
      <c r="I304" s="479"/>
      <c r="J304" s="14"/>
    </row>
    <row r="305" spans="1:10" ht="30" customHeight="1" x14ac:dyDescent="0.2">
      <c r="A305" s="224">
        <v>3341</v>
      </c>
      <c r="B305" s="224" t="s">
        <v>514</v>
      </c>
      <c r="C305" s="217">
        <f>SUM(C306:C306)</f>
        <v>150000</v>
      </c>
      <c r="D305" s="217">
        <f>SUM(D306:D306)</f>
        <v>150000</v>
      </c>
      <c r="E305" s="187"/>
      <c r="F305" s="534"/>
      <c r="G305" s="120"/>
      <c r="H305" s="120"/>
      <c r="I305" s="120"/>
      <c r="J305" s="296"/>
    </row>
    <row r="306" spans="1:10" ht="30" customHeight="1" x14ac:dyDescent="0.2">
      <c r="A306" s="288" t="s">
        <v>861</v>
      </c>
      <c r="B306" s="131" t="s">
        <v>862</v>
      </c>
      <c r="C306" s="126">
        <f>145000+5000</f>
        <v>150000</v>
      </c>
      <c r="D306" s="126">
        <f>145000+5000</f>
        <v>150000</v>
      </c>
      <c r="E306" s="294"/>
      <c r="F306" s="294"/>
      <c r="G306" s="126"/>
      <c r="H306" s="126"/>
      <c r="I306" s="126"/>
      <c r="J306" s="201"/>
    </row>
    <row r="307" spans="1:10" ht="30" customHeight="1" x14ac:dyDescent="0.2">
      <c r="A307" s="137">
        <v>3421</v>
      </c>
      <c r="B307" s="123" t="s">
        <v>513</v>
      </c>
      <c r="C307" s="122">
        <f>SUM(C308:C309)</f>
        <v>1880000</v>
      </c>
      <c r="D307" s="122">
        <f>SUM(D308:D309)</f>
        <v>1880000</v>
      </c>
      <c r="E307" s="540"/>
      <c r="F307" s="540"/>
      <c r="G307" s="120"/>
      <c r="H307" s="120"/>
      <c r="I307" s="120"/>
      <c r="J307" s="14"/>
    </row>
    <row r="308" spans="1:10" ht="30" customHeight="1" x14ac:dyDescent="0.2">
      <c r="A308" s="288" t="s">
        <v>864</v>
      </c>
      <c r="B308" s="299" t="s">
        <v>863</v>
      </c>
      <c r="C308" s="133">
        <f>1000000+110000+120000+300000</f>
        <v>1530000</v>
      </c>
      <c r="D308" s="133">
        <f>1000000+110000+120000+300000</f>
        <v>1530000</v>
      </c>
      <c r="E308" s="127"/>
      <c r="F308" s="289"/>
      <c r="G308" s="126"/>
      <c r="H308" s="126"/>
      <c r="I308" s="126"/>
      <c r="J308" s="14"/>
    </row>
    <row r="309" spans="1:10" ht="30" customHeight="1" x14ac:dyDescent="0.2">
      <c r="A309" s="288" t="s">
        <v>512</v>
      </c>
      <c r="B309" s="298" t="s">
        <v>511</v>
      </c>
      <c r="C309" s="126">
        <v>350000</v>
      </c>
      <c r="D309" s="126">
        <v>350000</v>
      </c>
      <c r="E309" s="292"/>
      <c r="F309" s="292"/>
      <c r="G309" s="126"/>
      <c r="H309" s="126"/>
      <c r="I309" s="126"/>
      <c r="J309" s="14"/>
    </row>
    <row r="310" spans="1:10" ht="30" customHeight="1" x14ac:dyDescent="0.2">
      <c r="A310" s="123">
        <v>3613</v>
      </c>
      <c r="B310" s="123" t="s">
        <v>510</v>
      </c>
      <c r="C310" s="122">
        <f>SUM(C311:C313)</f>
        <v>995000</v>
      </c>
      <c r="D310" s="122">
        <f>SUM(D311:D313)</f>
        <v>995000</v>
      </c>
      <c r="E310" s="361"/>
      <c r="F310" s="361"/>
      <c r="G310" s="120"/>
      <c r="H310" s="120"/>
      <c r="I310" s="120"/>
      <c r="J310" s="14"/>
    </row>
    <row r="311" spans="1:10" ht="30" customHeight="1" x14ac:dyDescent="0.2">
      <c r="A311" s="290" t="s">
        <v>865</v>
      </c>
      <c r="B311" s="291" t="s">
        <v>866</v>
      </c>
      <c r="C311" s="126">
        <f>5000+5000+250000+60000+300000</f>
        <v>620000</v>
      </c>
      <c r="D311" s="126">
        <f>5000+5000+250000+60000+300000</f>
        <v>620000</v>
      </c>
      <c r="E311" s="292"/>
      <c r="F311" s="292"/>
      <c r="G311" s="126"/>
      <c r="H311" s="126"/>
      <c r="I311" s="126"/>
      <c r="J311" s="14"/>
    </row>
    <row r="312" spans="1:10" ht="30" customHeight="1" x14ac:dyDescent="0.2">
      <c r="A312" s="290" t="s">
        <v>509</v>
      </c>
      <c r="B312" s="155" t="s">
        <v>508</v>
      </c>
      <c r="C312" s="126">
        <v>175000</v>
      </c>
      <c r="D312" s="126">
        <v>175000</v>
      </c>
      <c r="E312" s="289"/>
      <c r="F312" s="289"/>
      <c r="G312" s="126"/>
      <c r="H312" s="126"/>
      <c r="I312" s="126"/>
      <c r="J312" s="14"/>
    </row>
    <row r="313" spans="1:10" ht="30" customHeight="1" x14ac:dyDescent="0.2">
      <c r="A313" s="290" t="s">
        <v>507</v>
      </c>
      <c r="B313" s="155" t="s">
        <v>506</v>
      </c>
      <c r="C313" s="126">
        <v>200000</v>
      </c>
      <c r="D313" s="126">
        <v>200000</v>
      </c>
      <c r="E313" s="289"/>
      <c r="F313" s="289"/>
      <c r="G313" s="126"/>
      <c r="H313" s="126"/>
      <c r="I313" s="126"/>
      <c r="J313" s="14"/>
    </row>
    <row r="314" spans="1:10" ht="30" customHeight="1" x14ac:dyDescent="0.2">
      <c r="A314" s="123">
        <v>3631</v>
      </c>
      <c r="B314" s="123" t="s">
        <v>505</v>
      </c>
      <c r="C314" s="122">
        <f>SUM(C315:C317)</f>
        <v>9200000</v>
      </c>
      <c r="D314" s="122">
        <f>SUM(D315:D317)</f>
        <v>9223550</v>
      </c>
      <c r="E314" s="18"/>
      <c r="F314" s="238"/>
      <c r="G314" s="120"/>
      <c r="H314" s="121"/>
      <c r="I314" s="121"/>
      <c r="J314" s="14"/>
    </row>
    <row r="315" spans="1:10" ht="30" customHeight="1" x14ac:dyDescent="0.2">
      <c r="A315" s="290" t="s">
        <v>867</v>
      </c>
      <c r="B315" s="155" t="s">
        <v>868</v>
      </c>
      <c r="C315" s="126">
        <f>600000+100000</f>
        <v>700000</v>
      </c>
      <c r="D315" s="126">
        <f>600000+100000</f>
        <v>700000</v>
      </c>
      <c r="E315" s="10"/>
      <c r="F315" s="233"/>
      <c r="G315" s="126"/>
      <c r="H315" s="130"/>
      <c r="I315" s="130"/>
      <c r="J315" s="14"/>
    </row>
    <row r="316" spans="1:10" ht="30" customHeight="1" x14ac:dyDescent="0.2">
      <c r="A316" s="288" t="s">
        <v>504</v>
      </c>
      <c r="B316" s="155" t="s">
        <v>503</v>
      </c>
      <c r="C316" s="126">
        <v>4000000</v>
      </c>
      <c r="D316" s="126">
        <f>4000000+23550</f>
        <v>4023550</v>
      </c>
      <c r="E316" s="233"/>
      <c r="F316" s="233"/>
      <c r="G316" s="126"/>
      <c r="H316" s="126"/>
      <c r="I316" s="126"/>
      <c r="J316" s="14"/>
    </row>
    <row r="317" spans="1:10" ht="30" customHeight="1" x14ac:dyDescent="0.2">
      <c r="A317" s="288" t="s">
        <v>502</v>
      </c>
      <c r="B317" s="155" t="s">
        <v>501</v>
      </c>
      <c r="C317" s="126">
        <v>4500000</v>
      </c>
      <c r="D317" s="126">
        <v>4500000</v>
      </c>
      <c r="E317" s="233"/>
      <c r="F317" s="233"/>
      <c r="G317" s="126"/>
      <c r="H317" s="126"/>
      <c r="I317" s="126"/>
      <c r="J317" s="14"/>
    </row>
    <row r="318" spans="1:10" ht="30" customHeight="1" x14ac:dyDescent="0.2">
      <c r="A318" s="229">
        <v>3632</v>
      </c>
      <c r="B318" s="229" t="s">
        <v>500</v>
      </c>
      <c r="C318" s="122">
        <f>SUM(C319,C321:C322)</f>
        <v>3250000</v>
      </c>
      <c r="D318" s="122">
        <f>SUM(D319,D321:D322)</f>
        <v>3273550</v>
      </c>
      <c r="E318" s="238"/>
      <c r="F318" s="238"/>
      <c r="G318" s="120"/>
      <c r="H318" s="120"/>
      <c r="I318" s="120"/>
      <c r="J318" s="14"/>
    </row>
    <row r="319" spans="1:10" ht="30" customHeight="1" x14ac:dyDescent="0.2">
      <c r="A319" s="131"/>
      <c r="B319" s="131" t="s">
        <v>499</v>
      </c>
      <c r="C319" s="127">
        <f>SUM(C320:C320)</f>
        <v>650000</v>
      </c>
      <c r="D319" s="127">
        <f>SUM(D320:D320)</f>
        <v>650000</v>
      </c>
      <c r="E319" s="233"/>
      <c r="F319" s="233"/>
      <c r="G319" s="126"/>
      <c r="H319" s="126"/>
      <c r="I319" s="126"/>
      <c r="J319" s="14"/>
    </row>
    <row r="320" spans="1:10" ht="30" customHeight="1" x14ac:dyDescent="0.2">
      <c r="A320" s="288" t="s">
        <v>498</v>
      </c>
      <c r="B320" s="155" t="s">
        <v>497</v>
      </c>
      <c r="C320" s="126">
        <v>650000</v>
      </c>
      <c r="D320" s="126">
        <v>650000</v>
      </c>
      <c r="E320" s="10"/>
      <c r="F320" s="10"/>
      <c r="G320" s="126"/>
      <c r="H320" s="126"/>
      <c r="I320" s="126"/>
      <c r="J320" s="14"/>
    </row>
    <row r="321" spans="1:10" ht="30" customHeight="1" x14ac:dyDescent="0.2">
      <c r="A321" s="293" t="s">
        <v>496</v>
      </c>
      <c r="B321" s="155" t="s">
        <v>495</v>
      </c>
      <c r="C321" s="126">
        <v>2500000</v>
      </c>
      <c r="D321" s="126">
        <f>2500000+23550</f>
        <v>2523550</v>
      </c>
      <c r="E321" s="10"/>
      <c r="F321" s="10"/>
      <c r="G321" s="126"/>
      <c r="H321" s="126"/>
      <c r="I321" s="126"/>
      <c r="J321" s="14"/>
    </row>
    <row r="322" spans="1:10" s="3" customFormat="1" ht="30" customHeight="1" x14ac:dyDescent="0.2">
      <c r="A322" s="293" t="s">
        <v>494</v>
      </c>
      <c r="B322" s="155" t="s">
        <v>493</v>
      </c>
      <c r="C322" s="126">
        <v>100000</v>
      </c>
      <c r="D322" s="126">
        <v>100000</v>
      </c>
      <c r="E322" s="285"/>
      <c r="F322" s="11"/>
      <c r="G322" s="126"/>
      <c r="H322" s="151"/>
      <c r="I322" s="151"/>
      <c r="J322" s="14"/>
    </row>
    <row r="323" spans="1:10" s="3" customFormat="1" ht="30" customHeight="1" x14ac:dyDescent="0.2">
      <c r="A323" s="123">
        <v>3639</v>
      </c>
      <c r="B323" s="123" t="s">
        <v>492</v>
      </c>
      <c r="C323" s="122">
        <f>SUM(C324:C325)</f>
        <v>13788.33</v>
      </c>
      <c r="D323" s="122">
        <f>SUM(D324:D325)</f>
        <v>13788.33</v>
      </c>
      <c r="E323" s="18"/>
      <c r="F323" s="18"/>
      <c r="G323" s="120"/>
      <c r="H323" s="121"/>
      <c r="I323" s="121"/>
      <c r="J323" s="14"/>
    </row>
    <row r="324" spans="1:10" s="3" customFormat="1" ht="30" customHeight="1" x14ac:dyDescent="0.2">
      <c r="A324" s="288" t="s">
        <v>491</v>
      </c>
      <c r="B324" s="291" t="s">
        <v>490</v>
      </c>
      <c r="C324" s="127">
        <v>8788.33</v>
      </c>
      <c r="D324" s="127">
        <f>8788.33+281.23</f>
        <v>9069.56</v>
      </c>
      <c r="E324" s="488"/>
      <c r="F324" s="9"/>
      <c r="G324" s="126"/>
      <c r="H324" s="126"/>
      <c r="I324" s="121"/>
      <c r="J324" s="14"/>
    </row>
    <row r="325" spans="1:10" s="3" customFormat="1" ht="30" customHeight="1" x14ac:dyDescent="0.2">
      <c r="A325" s="290" t="s">
        <v>489</v>
      </c>
      <c r="B325" s="155" t="s">
        <v>488</v>
      </c>
      <c r="C325" s="126">
        <v>5000</v>
      </c>
      <c r="D325" s="126">
        <f>5000-281.23</f>
        <v>4718.7700000000004</v>
      </c>
      <c r="E325" s="233"/>
      <c r="F325" s="10"/>
      <c r="G325" s="126"/>
      <c r="H325" s="126"/>
      <c r="I325" s="130"/>
      <c r="J325" s="14"/>
    </row>
    <row r="326" spans="1:10" s="3" customFormat="1" ht="30" customHeight="1" x14ac:dyDescent="0.2">
      <c r="A326" s="123">
        <v>3699</v>
      </c>
      <c r="B326" s="123" t="s">
        <v>487</v>
      </c>
      <c r="C326" s="122">
        <f>SUM(C327)</f>
        <v>200000</v>
      </c>
      <c r="D326" s="122">
        <f>SUM(D327)</f>
        <v>200000</v>
      </c>
      <c r="E326" s="238"/>
      <c r="F326" s="18"/>
      <c r="G326" s="120"/>
      <c r="H326" s="120"/>
      <c r="I326" s="121"/>
      <c r="J326" s="14"/>
    </row>
    <row r="327" spans="1:10" s="3" customFormat="1" ht="30" customHeight="1" x14ac:dyDescent="0.2">
      <c r="A327" s="288" t="s">
        <v>486</v>
      </c>
      <c r="B327" s="155" t="s">
        <v>485</v>
      </c>
      <c r="C327" s="126">
        <v>200000</v>
      </c>
      <c r="D327" s="126">
        <v>200000</v>
      </c>
      <c r="E327" s="233"/>
      <c r="F327" s="10"/>
      <c r="G327" s="126"/>
      <c r="H327" s="126"/>
      <c r="I327" s="130"/>
      <c r="J327" s="14"/>
    </row>
    <row r="328" spans="1:10" s="3" customFormat="1" ht="30" customHeight="1" thickBot="1" x14ac:dyDescent="0.25">
      <c r="A328" s="287"/>
      <c r="B328" s="286"/>
      <c r="C328" s="117"/>
      <c r="D328" s="117"/>
      <c r="E328" s="285"/>
      <c r="F328" s="11"/>
      <c r="G328" s="151"/>
      <c r="H328" s="151"/>
      <c r="I328" s="151"/>
      <c r="J328" s="14"/>
    </row>
    <row r="329" spans="1:10" s="3" customFormat="1" ht="30" customHeight="1" thickBot="1" x14ac:dyDescent="0.25">
      <c r="A329" s="284"/>
      <c r="B329" s="283" t="s">
        <v>484</v>
      </c>
      <c r="C329" s="181">
        <f>SUM(C330+C340+C388+C398+C416)</f>
        <v>114484000</v>
      </c>
      <c r="D329" s="181">
        <f>SUM(D330+D340+D388+D398+D416)</f>
        <v>98053500</v>
      </c>
      <c r="E329" s="47"/>
      <c r="F329" s="47"/>
      <c r="G329" s="571"/>
      <c r="H329" s="181"/>
      <c r="I329" s="181"/>
      <c r="J329" s="14"/>
    </row>
    <row r="330" spans="1:10" s="3" customFormat="1" ht="30" customHeight="1" thickBot="1" x14ac:dyDescent="0.25">
      <c r="A330" s="282"/>
      <c r="B330" s="281" t="s">
        <v>483</v>
      </c>
      <c r="C330" s="265">
        <f>SUM(C331+C335)</f>
        <v>5530000</v>
      </c>
      <c r="D330" s="265">
        <f>SUM(D331+D335)</f>
        <v>5530000</v>
      </c>
      <c r="E330" s="43"/>
      <c r="F330" s="43"/>
      <c r="G330" s="479"/>
      <c r="H330" s="479"/>
      <c r="I330" s="479"/>
      <c r="J330" s="14"/>
    </row>
    <row r="331" spans="1:10" s="3" customFormat="1" ht="30" customHeight="1" x14ac:dyDescent="0.2">
      <c r="A331" s="275">
        <v>2310</v>
      </c>
      <c r="B331" s="274" t="s">
        <v>482</v>
      </c>
      <c r="C331" s="273">
        <f>SUM(C332:C334)</f>
        <v>4950000</v>
      </c>
      <c r="D331" s="273">
        <f>SUM(D332:D334)</f>
        <v>4950000</v>
      </c>
      <c r="E331" s="241"/>
      <c r="F331" s="24"/>
      <c r="G331" s="120"/>
      <c r="H331" s="120"/>
      <c r="I331" s="120"/>
      <c r="J331" s="14"/>
    </row>
    <row r="332" spans="1:10" s="3" customFormat="1" ht="30" customHeight="1" x14ac:dyDescent="0.2">
      <c r="A332" s="261" t="s">
        <v>481</v>
      </c>
      <c r="B332" s="260" t="s">
        <v>480</v>
      </c>
      <c r="C332" s="259">
        <v>4800000</v>
      </c>
      <c r="D332" s="259">
        <f>4800000-93200</f>
        <v>4706800</v>
      </c>
      <c r="E332" s="233"/>
      <c r="F332" s="10"/>
      <c r="G332" s="126"/>
      <c r="H332" s="126"/>
      <c r="I332" s="126"/>
      <c r="J332" s="14"/>
    </row>
    <row r="333" spans="1:10" s="3" customFormat="1" ht="30" customHeight="1" x14ac:dyDescent="0.2">
      <c r="A333" s="261" t="s">
        <v>479</v>
      </c>
      <c r="B333" s="260" t="s">
        <v>478</v>
      </c>
      <c r="C333" s="259">
        <v>100000</v>
      </c>
      <c r="D333" s="259">
        <f>100000+93200</f>
        <v>193200</v>
      </c>
      <c r="E333" s="233"/>
      <c r="F333" s="10"/>
      <c r="G333" s="126"/>
      <c r="H333" s="126"/>
      <c r="I333" s="126"/>
      <c r="J333" s="14"/>
    </row>
    <row r="334" spans="1:10" s="3" customFormat="1" ht="30" customHeight="1" x14ac:dyDescent="0.2">
      <c r="A334" s="261" t="s">
        <v>477</v>
      </c>
      <c r="B334" s="260" t="s">
        <v>476</v>
      </c>
      <c r="C334" s="259">
        <v>50000</v>
      </c>
      <c r="D334" s="259">
        <v>50000</v>
      </c>
      <c r="E334" s="233"/>
      <c r="F334" s="10"/>
      <c r="G334" s="126"/>
      <c r="H334" s="126"/>
      <c r="I334" s="126"/>
      <c r="J334" s="14"/>
    </row>
    <row r="335" spans="1:10" s="3" customFormat="1" ht="30" customHeight="1" x14ac:dyDescent="0.2">
      <c r="A335" s="271">
        <v>2321</v>
      </c>
      <c r="B335" s="270" t="s">
        <v>475</v>
      </c>
      <c r="C335" s="280">
        <f>SUM(C336:C339)</f>
        <v>580000</v>
      </c>
      <c r="D335" s="280">
        <f>SUM(D336:D339)</f>
        <v>580000</v>
      </c>
      <c r="E335" s="238"/>
      <c r="F335" s="18"/>
      <c r="G335" s="120"/>
      <c r="H335" s="120"/>
      <c r="I335" s="120"/>
      <c r="J335" s="14"/>
    </row>
    <row r="336" spans="1:10" s="3" customFormat="1" ht="30" customHeight="1" x14ac:dyDescent="0.2">
      <c r="A336" s="261" t="s">
        <v>474</v>
      </c>
      <c r="B336" s="260" t="s">
        <v>473</v>
      </c>
      <c r="C336" s="259">
        <v>30000</v>
      </c>
      <c r="D336" s="259">
        <f>30000+21000</f>
        <v>51000</v>
      </c>
      <c r="E336" s="233"/>
      <c r="F336" s="10"/>
      <c r="G336" s="126"/>
      <c r="H336" s="126"/>
      <c r="I336" s="126"/>
      <c r="J336" s="14"/>
    </row>
    <row r="337" spans="1:10" s="3" customFormat="1" ht="30" customHeight="1" x14ac:dyDescent="0.2">
      <c r="A337" s="261" t="s">
        <v>472</v>
      </c>
      <c r="B337" s="260" t="s">
        <v>471</v>
      </c>
      <c r="C337" s="259">
        <v>400000</v>
      </c>
      <c r="D337" s="259">
        <f>400000-15000-21000</f>
        <v>364000</v>
      </c>
      <c r="E337" s="233"/>
      <c r="F337" s="10"/>
      <c r="G337" s="126"/>
      <c r="H337" s="126"/>
      <c r="I337" s="126"/>
      <c r="J337" s="14"/>
    </row>
    <row r="338" spans="1:10" s="3" customFormat="1" ht="30" customHeight="1" x14ac:dyDescent="0.2">
      <c r="A338" s="261" t="s">
        <v>470</v>
      </c>
      <c r="B338" s="260" t="s">
        <v>469</v>
      </c>
      <c r="C338" s="262">
        <v>50000</v>
      </c>
      <c r="D338" s="262">
        <v>50000</v>
      </c>
      <c r="E338" s="233"/>
      <c r="F338" s="10"/>
      <c r="G338" s="126"/>
      <c r="H338" s="126"/>
      <c r="I338" s="126"/>
      <c r="J338" s="14"/>
    </row>
    <row r="339" spans="1:10" s="3" customFormat="1" ht="30" customHeight="1" thickBot="1" x14ac:dyDescent="0.25">
      <c r="A339" s="261" t="s">
        <v>468</v>
      </c>
      <c r="B339" s="260" t="s">
        <v>467</v>
      </c>
      <c r="C339" s="259">
        <v>100000</v>
      </c>
      <c r="D339" s="259">
        <f>100000+15000</f>
        <v>115000</v>
      </c>
      <c r="E339" s="233"/>
      <c r="F339" s="10"/>
      <c r="G339" s="126"/>
      <c r="H339" s="126"/>
      <c r="I339" s="126"/>
      <c r="J339" s="14"/>
    </row>
    <row r="340" spans="1:10" ht="30" customHeight="1" thickBot="1" x14ac:dyDescent="0.3">
      <c r="A340" s="267"/>
      <c r="B340" s="266" t="s">
        <v>466</v>
      </c>
      <c r="C340" s="265">
        <f>SUM(C341+C358+C386)</f>
        <v>38460500</v>
      </c>
      <c r="D340" s="265">
        <f>SUM(D341+D358+D386)</f>
        <v>38030000</v>
      </c>
      <c r="E340" s="43"/>
      <c r="F340" s="43"/>
      <c r="G340" s="479"/>
      <c r="H340" s="479"/>
      <c r="I340" s="479"/>
      <c r="J340" s="14"/>
    </row>
    <row r="341" spans="1:10" ht="30" customHeight="1" x14ac:dyDescent="0.2">
      <c r="A341" s="275">
        <v>2212</v>
      </c>
      <c r="B341" s="274" t="s">
        <v>465</v>
      </c>
      <c r="C341" s="273">
        <f>SUM(C342:C357)</f>
        <v>14360000</v>
      </c>
      <c r="D341" s="273">
        <f>SUM(D342:D357)</f>
        <v>14190000</v>
      </c>
      <c r="E341" s="488"/>
      <c r="F341" s="9"/>
      <c r="G341" s="120"/>
      <c r="H341" s="126"/>
      <c r="I341" s="130"/>
      <c r="J341" s="14"/>
    </row>
    <row r="342" spans="1:10" ht="30" customHeight="1" x14ac:dyDescent="0.2">
      <c r="A342" s="261" t="s">
        <v>464</v>
      </c>
      <c r="B342" s="260" t="s">
        <v>789</v>
      </c>
      <c r="C342" s="259">
        <v>250000</v>
      </c>
      <c r="D342" s="259">
        <v>250000</v>
      </c>
      <c r="E342" s="233"/>
      <c r="F342" s="10"/>
      <c r="G342" s="126"/>
      <c r="H342" s="126"/>
      <c r="I342" s="130"/>
      <c r="J342" s="14"/>
    </row>
    <row r="343" spans="1:10" ht="30" customHeight="1" x14ac:dyDescent="0.2">
      <c r="A343" s="261" t="s">
        <v>463</v>
      </c>
      <c r="B343" s="260" t="s">
        <v>462</v>
      </c>
      <c r="C343" s="259">
        <v>5000000</v>
      </c>
      <c r="D343" s="259">
        <f>5000000</f>
        <v>5000000</v>
      </c>
      <c r="E343" s="233"/>
      <c r="F343" s="10"/>
      <c r="G343" s="126"/>
      <c r="H343" s="126"/>
      <c r="I343" s="126"/>
      <c r="J343" s="14"/>
    </row>
    <row r="344" spans="1:10" ht="30" customHeight="1" x14ac:dyDescent="0.2">
      <c r="A344" s="261" t="s">
        <v>461</v>
      </c>
      <c r="B344" s="260" t="s">
        <v>460</v>
      </c>
      <c r="C344" s="259">
        <v>700000</v>
      </c>
      <c r="D344" s="259">
        <v>700000</v>
      </c>
      <c r="E344" s="233"/>
      <c r="F344" s="10"/>
      <c r="G344" s="126"/>
      <c r="H344" s="126"/>
      <c r="I344" s="126"/>
      <c r="J344" s="14"/>
    </row>
    <row r="345" spans="1:10" ht="30" customHeight="1" x14ac:dyDescent="0.2">
      <c r="A345" s="261" t="s">
        <v>459</v>
      </c>
      <c r="B345" s="260" t="s">
        <v>458</v>
      </c>
      <c r="C345" s="259">
        <v>2300000</v>
      </c>
      <c r="D345" s="259">
        <v>2300000</v>
      </c>
      <c r="E345" s="233"/>
      <c r="F345" s="10"/>
      <c r="G345" s="126"/>
      <c r="H345" s="126"/>
      <c r="I345" s="126"/>
      <c r="J345" s="14"/>
    </row>
    <row r="346" spans="1:10" ht="30" customHeight="1" x14ac:dyDescent="0.2">
      <c r="A346" s="261" t="s">
        <v>457</v>
      </c>
      <c r="B346" s="260" t="s">
        <v>456</v>
      </c>
      <c r="C346" s="259">
        <v>1500000</v>
      </c>
      <c r="D346" s="259">
        <v>1500000</v>
      </c>
      <c r="E346" s="233"/>
      <c r="F346" s="10"/>
      <c r="G346" s="126"/>
      <c r="H346" s="126"/>
      <c r="I346" s="126"/>
      <c r="J346" s="14"/>
    </row>
    <row r="347" spans="1:10" ht="30" customHeight="1" x14ac:dyDescent="0.2">
      <c r="A347" s="261" t="s">
        <v>455</v>
      </c>
      <c r="B347" s="260" t="s">
        <v>454</v>
      </c>
      <c r="C347" s="259">
        <v>170000</v>
      </c>
      <c r="D347" s="259">
        <f>170000-170000</f>
        <v>0</v>
      </c>
      <c r="E347" s="233"/>
      <c r="F347" s="10"/>
      <c r="G347" s="126"/>
      <c r="H347" s="126"/>
      <c r="I347" s="126"/>
      <c r="J347" s="14"/>
    </row>
    <row r="348" spans="1:10" ht="30" customHeight="1" x14ac:dyDescent="0.2">
      <c r="A348" s="261" t="s">
        <v>453</v>
      </c>
      <c r="B348" s="260" t="s">
        <v>452</v>
      </c>
      <c r="C348" s="259">
        <v>200000</v>
      </c>
      <c r="D348" s="259">
        <v>200000</v>
      </c>
      <c r="E348" s="233"/>
      <c r="F348" s="10"/>
      <c r="G348" s="126"/>
      <c r="H348" s="126"/>
      <c r="I348" s="126"/>
      <c r="J348" s="14"/>
    </row>
    <row r="349" spans="1:10" ht="30" customHeight="1" x14ac:dyDescent="0.2">
      <c r="A349" s="261" t="s">
        <v>451</v>
      </c>
      <c r="B349" s="260" t="s">
        <v>450</v>
      </c>
      <c r="C349" s="259">
        <v>1400000</v>
      </c>
      <c r="D349" s="259">
        <v>1400000</v>
      </c>
      <c r="E349" s="233"/>
      <c r="F349" s="10"/>
      <c r="G349" s="126"/>
      <c r="H349" s="126"/>
      <c r="I349" s="126"/>
      <c r="J349" s="14"/>
    </row>
    <row r="350" spans="1:10" ht="30" customHeight="1" x14ac:dyDescent="0.2">
      <c r="A350" s="261" t="s">
        <v>449</v>
      </c>
      <c r="B350" s="260" t="s">
        <v>448</v>
      </c>
      <c r="C350" s="259">
        <f>350000+300000</f>
        <v>650000</v>
      </c>
      <c r="D350" s="259">
        <f>350000+300000</f>
        <v>650000</v>
      </c>
      <c r="E350" s="233"/>
      <c r="F350" s="10"/>
      <c r="G350" s="126"/>
      <c r="H350" s="126"/>
      <c r="I350" s="126"/>
      <c r="J350" s="14"/>
    </row>
    <row r="351" spans="1:10" ht="30" customHeight="1" x14ac:dyDescent="0.2">
      <c r="A351" s="261" t="s">
        <v>447</v>
      </c>
      <c r="B351" s="260" t="s">
        <v>446</v>
      </c>
      <c r="C351" s="259">
        <v>650000</v>
      </c>
      <c r="D351" s="259">
        <v>650000</v>
      </c>
      <c r="E351" s="233"/>
      <c r="F351" s="10"/>
      <c r="G351" s="126"/>
      <c r="H351" s="126"/>
      <c r="I351" s="126"/>
      <c r="J351" s="14"/>
    </row>
    <row r="352" spans="1:10" ht="30" customHeight="1" x14ac:dyDescent="0.2">
      <c r="A352" s="261" t="s">
        <v>445</v>
      </c>
      <c r="B352" s="260" t="s">
        <v>444</v>
      </c>
      <c r="C352" s="259">
        <v>90000</v>
      </c>
      <c r="D352" s="259">
        <v>90000</v>
      </c>
      <c r="E352" s="233"/>
      <c r="F352" s="10"/>
      <c r="G352" s="126"/>
      <c r="H352" s="126"/>
      <c r="I352" s="126"/>
      <c r="J352" s="14"/>
    </row>
    <row r="353" spans="1:10" ht="30" customHeight="1" x14ac:dyDescent="0.2">
      <c r="A353" s="261" t="s">
        <v>443</v>
      </c>
      <c r="B353" s="260" t="s">
        <v>442</v>
      </c>
      <c r="C353" s="259">
        <v>350000</v>
      </c>
      <c r="D353" s="259">
        <v>350000</v>
      </c>
      <c r="E353" s="233"/>
      <c r="F353" s="10"/>
      <c r="G353" s="126"/>
      <c r="H353" s="126"/>
      <c r="I353" s="126"/>
      <c r="J353" s="14"/>
    </row>
    <row r="354" spans="1:10" ht="30" customHeight="1" x14ac:dyDescent="0.2">
      <c r="A354" s="261" t="s">
        <v>441</v>
      </c>
      <c r="B354" s="260" t="s">
        <v>440</v>
      </c>
      <c r="C354" s="272">
        <v>500000</v>
      </c>
      <c r="D354" s="272">
        <v>500000</v>
      </c>
      <c r="E354" s="233"/>
      <c r="F354" s="10"/>
      <c r="G354" s="126"/>
      <c r="H354" s="126"/>
      <c r="I354" s="126"/>
      <c r="J354" s="14"/>
    </row>
    <row r="355" spans="1:10" ht="30" customHeight="1" x14ac:dyDescent="0.2">
      <c r="A355" s="261" t="s">
        <v>437</v>
      </c>
      <c r="B355" s="260" t="s">
        <v>439</v>
      </c>
      <c r="C355" s="259">
        <v>100000</v>
      </c>
      <c r="D355" s="259">
        <v>100000</v>
      </c>
      <c r="E355" s="541"/>
      <c r="F355" s="11"/>
      <c r="G355" s="126"/>
      <c r="H355" s="126"/>
      <c r="I355" s="126"/>
      <c r="J355" s="14"/>
    </row>
    <row r="356" spans="1:10" ht="30" customHeight="1" x14ac:dyDescent="0.2">
      <c r="A356" s="261" t="s">
        <v>437</v>
      </c>
      <c r="B356" s="260" t="s">
        <v>438</v>
      </c>
      <c r="C356" s="259">
        <v>400000</v>
      </c>
      <c r="D356" s="259">
        <v>400000</v>
      </c>
      <c r="E356" s="487"/>
      <c r="F356" s="489"/>
      <c r="G356" s="126"/>
      <c r="H356" s="126"/>
      <c r="I356" s="126"/>
      <c r="J356" s="14"/>
    </row>
    <row r="357" spans="1:10" ht="30" customHeight="1" x14ac:dyDescent="0.2">
      <c r="A357" s="261" t="s">
        <v>437</v>
      </c>
      <c r="B357" s="260" t="s">
        <v>436</v>
      </c>
      <c r="C357" s="259">
        <v>100000</v>
      </c>
      <c r="D357" s="259">
        <v>100000</v>
      </c>
      <c r="E357" s="233"/>
      <c r="F357" s="10"/>
      <c r="G357" s="126"/>
      <c r="H357" s="126"/>
      <c r="I357" s="126"/>
      <c r="J357" s="14"/>
    </row>
    <row r="358" spans="1:10" ht="30" customHeight="1" x14ac:dyDescent="0.2">
      <c r="A358" s="271">
        <v>2219</v>
      </c>
      <c r="B358" s="270" t="s">
        <v>435</v>
      </c>
      <c r="C358" s="269">
        <f>SUM(C359:C385)</f>
        <v>24040500</v>
      </c>
      <c r="D358" s="269">
        <f>SUM(D359:D385)</f>
        <v>23780000</v>
      </c>
      <c r="E358" s="482"/>
      <c r="F358" s="482"/>
      <c r="G358" s="120"/>
      <c r="H358" s="121"/>
      <c r="I358" s="120"/>
      <c r="J358" s="14"/>
    </row>
    <row r="359" spans="1:10" ht="30" customHeight="1" x14ac:dyDescent="0.2">
      <c r="A359" s="279" t="s">
        <v>434</v>
      </c>
      <c r="B359" s="278" t="s">
        <v>788</v>
      </c>
      <c r="C359" s="259">
        <v>200000</v>
      </c>
      <c r="D359" s="259">
        <f>200000-82280</f>
        <v>117720</v>
      </c>
      <c r="E359" s="11"/>
      <c r="F359" s="490"/>
      <c r="G359" s="126"/>
      <c r="H359" s="117"/>
      <c r="I359" s="151"/>
      <c r="J359" s="14"/>
    </row>
    <row r="360" spans="1:10" ht="30" customHeight="1" x14ac:dyDescent="0.2">
      <c r="A360" s="261" t="s">
        <v>433</v>
      </c>
      <c r="B360" s="260" t="s">
        <v>432</v>
      </c>
      <c r="C360" s="259">
        <v>3000000</v>
      </c>
      <c r="D360" s="259">
        <f>3000000-450000</f>
        <v>2550000</v>
      </c>
      <c r="E360" s="10"/>
      <c r="F360" s="10"/>
      <c r="G360" s="130"/>
      <c r="H360" s="130"/>
      <c r="I360" s="117"/>
      <c r="J360" s="14"/>
    </row>
    <row r="361" spans="1:10" ht="30" customHeight="1" x14ac:dyDescent="0.2">
      <c r="A361" s="261" t="s">
        <v>431</v>
      </c>
      <c r="B361" s="260" t="s">
        <v>430</v>
      </c>
      <c r="C361" s="259">
        <v>200000</v>
      </c>
      <c r="D361" s="259">
        <v>200000</v>
      </c>
      <c r="E361" s="9"/>
      <c r="F361" s="9"/>
      <c r="G361" s="126"/>
      <c r="H361" s="126"/>
      <c r="I361" s="130"/>
      <c r="J361" s="14"/>
    </row>
    <row r="362" spans="1:10" ht="30" customHeight="1" x14ac:dyDescent="0.2">
      <c r="A362" s="261" t="s">
        <v>429</v>
      </c>
      <c r="B362" s="260" t="s">
        <v>428</v>
      </c>
      <c r="C362" s="259">
        <v>8650000</v>
      </c>
      <c r="D362" s="259">
        <v>8650000</v>
      </c>
      <c r="E362" s="10"/>
      <c r="F362" s="10"/>
      <c r="G362" s="126"/>
      <c r="H362" s="126"/>
      <c r="I362" s="130"/>
      <c r="J362" s="14"/>
    </row>
    <row r="363" spans="1:10" ht="30" customHeight="1" x14ac:dyDescent="0.2">
      <c r="A363" s="261" t="s">
        <v>427</v>
      </c>
      <c r="B363" s="260" t="s">
        <v>426</v>
      </c>
      <c r="C363" s="259">
        <v>300000</v>
      </c>
      <c r="D363" s="259">
        <v>300000</v>
      </c>
      <c r="E363" s="10"/>
      <c r="F363" s="10"/>
      <c r="G363" s="126"/>
      <c r="H363" s="126"/>
      <c r="I363" s="130"/>
      <c r="J363" s="14"/>
    </row>
    <row r="364" spans="1:10" ht="30" customHeight="1" x14ac:dyDescent="0.2">
      <c r="A364" s="261" t="s">
        <v>425</v>
      </c>
      <c r="B364" s="260" t="s">
        <v>424</v>
      </c>
      <c r="C364" s="259">
        <v>50000</v>
      </c>
      <c r="D364" s="259">
        <v>50000</v>
      </c>
      <c r="E364" s="10"/>
      <c r="F364" s="10"/>
      <c r="G364" s="126"/>
      <c r="H364" s="126"/>
      <c r="I364" s="130"/>
      <c r="J364" s="201"/>
    </row>
    <row r="365" spans="1:10" ht="30" customHeight="1" x14ac:dyDescent="0.2">
      <c r="A365" s="261" t="s">
        <v>423</v>
      </c>
      <c r="B365" s="260" t="s">
        <v>422</v>
      </c>
      <c r="C365" s="259">
        <v>150000</v>
      </c>
      <c r="D365" s="259">
        <v>150000</v>
      </c>
      <c r="E365" s="10"/>
      <c r="F365" s="10"/>
      <c r="G365" s="126"/>
      <c r="H365" s="126"/>
      <c r="I365" s="130"/>
      <c r="J365" s="14"/>
    </row>
    <row r="366" spans="1:10" ht="30" customHeight="1" x14ac:dyDescent="0.2">
      <c r="A366" s="261" t="s">
        <v>421</v>
      </c>
      <c r="B366" s="260" t="s">
        <v>420</v>
      </c>
      <c r="C366" s="259">
        <v>50000</v>
      </c>
      <c r="D366" s="259">
        <v>50000</v>
      </c>
      <c r="E366" s="10"/>
      <c r="F366" s="10"/>
      <c r="G366" s="126"/>
      <c r="H366" s="126"/>
      <c r="I366" s="130"/>
      <c r="J366" s="6"/>
    </row>
    <row r="367" spans="1:10" ht="30" customHeight="1" x14ac:dyDescent="0.2">
      <c r="A367" s="261" t="s">
        <v>419</v>
      </c>
      <c r="B367" s="260" t="s">
        <v>418</v>
      </c>
      <c r="C367" s="259">
        <v>1200000</v>
      </c>
      <c r="D367" s="259">
        <v>1200000</v>
      </c>
      <c r="E367" s="10"/>
      <c r="F367" s="10"/>
      <c r="G367" s="126"/>
      <c r="H367" s="126"/>
      <c r="I367" s="126"/>
      <c r="J367" s="14"/>
    </row>
    <row r="368" spans="1:10" ht="30" customHeight="1" x14ac:dyDescent="0.2">
      <c r="A368" s="261" t="s">
        <v>417</v>
      </c>
      <c r="B368" s="260" t="s">
        <v>416</v>
      </c>
      <c r="C368" s="259">
        <v>160500</v>
      </c>
      <c r="D368" s="259">
        <f>160500-160500</f>
        <v>0</v>
      </c>
      <c r="E368" s="10"/>
      <c r="F368" s="10"/>
      <c r="G368" s="126"/>
      <c r="H368" s="126"/>
      <c r="I368" s="126"/>
      <c r="J368" s="14"/>
    </row>
    <row r="369" spans="1:10" ht="30" customHeight="1" x14ac:dyDescent="0.2">
      <c r="A369" s="261" t="s">
        <v>415</v>
      </c>
      <c r="B369" s="260" t="s">
        <v>414</v>
      </c>
      <c r="C369" s="259">
        <v>5400000</v>
      </c>
      <c r="D369" s="259">
        <f>5400000+450000</f>
        <v>5850000</v>
      </c>
      <c r="E369" s="10"/>
      <c r="F369" s="10"/>
      <c r="G369" s="126"/>
      <c r="H369" s="126"/>
      <c r="I369" s="126"/>
      <c r="J369" s="14"/>
    </row>
    <row r="370" spans="1:10" ht="30" customHeight="1" x14ac:dyDescent="0.2">
      <c r="A370" s="261" t="s">
        <v>413</v>
      </c>
      <c r="B370" s="260" t="s">
        <v>412</v>
      </c>
      <c r="C370" s="259">
        <v>100000</v>
      </c>
      <c r="D370" s="259">
        <v>100000</v>
      </c>
      <c r="E370" s="10"/>
      <c r="F370" s="10"/>
      <c r="G370" s="126"/>
      <c r="H370" s="126"/>
      <c r="I370" s="126"/>
      <c r="J370" s="14"/>
    </row>
    <row r="371" spans="1:10" ht="30" customHeight="1" x14ac:dyDescent="0.2">
      <c r="A371" s="261" t="s">
        <v>411</v>
      </c>
      <c r="B371" s="260" t="s">
        <v>410</v>
      </c>
      <c r="C371" s="259">
        <v>550000</v>
      </c>
      <c r="D371" s="259">
        <v>550000</v>
      </c>
      <c r="E371" s="10"/>
      <c r="F371" s="10"/>
      <c r="G371" s="126"/>
      <c r="H371" s="126"/>
      <c r="I371" s="126"/>
      <c r="J371" s="14"/>
    </row>
    <row r="372" spans="1:10" ht="30" customHeight="1" x14ac:dyDescent="0.2">
      <c r="A372" s="261" t="s">
        <v>409</v>
      </c>
      <c r="B372" s="260" t="s">
        <v>408</v>
      </c>
      <c r="C372" s="259">
        <v>1500000</v>
      </c>
      <c r="D372" s="259">
        <f>1500000-215890-162803</f>
        <v>1121307</v>
      </c>
      <c r="E372" s="10"/>
      <c r="F372" s="10"/>
      <c r="G372" s="126"/>
      <c r="H372" s="126"/>
      <c r="I372" s="126"/>
      <c r="J372" s="14"/>
    </row>
    <row r="373" spans="1:10" ht="30" customHeight="1" x14ac:dyDescent="0.2">
      <c r="A373" s="261" t="s">
        <v>407</v>
      </c>
      <c r="B373" s="260" t="s">
        <v>406</v>
      </c>
      <c r="C373" s="259">
        <v>200000</v>
      </c>
      <c r="D373" s="259">
        <v>200000</v>
      </c>
      <c r="E373" s="10"/>
      <c r="F373" s="10"/>
      <c r="G373" s="126"/>
      <c r="H373" s="126"/>
      <c r="I373" s="126"/>
      <c r="J373" s="14"/>
    </row>
    <row r="374" spans="1:10" ht="30" customHeight="1" x14ac:dyDescent="0.2">
      <c r="A374" s="261" t="s">
        <v>405</v>
      </c>
      <c r="B374" s="260" t="s">
        <v>404</v>
      </c>
      <c r="C374" s="259">
        <v>130000</v>
      </c>
      <c r="D374" s="259">
        <v>130000</v>
      </c>
      <c r="E374" s="10"/>
      <c r="F374" s="10"/>
      <c r="G374" s="126"/>
      <c r="H374" s="126"/>
      <c r="I374" s="126"/>
      <c r="J374" s="14"/>
    </row>
    <row r="375" spans="1:10" ht="30" customHeight="1" x14ac:dyDescent="0.2">
      <c r="A375" s="261" t="s">
        <v>899</v>
      </c>
      <c r="B375" s="260" t="s">
        <v>403</v>
      </c>
      <c r="C375" s="259">
        <v>500000</v>
      </c>
      <c r="D375" s="259">
        <f>500000+162803</f>
        <v>662803</v>
      </c>
      <c r="E375" s="10"/>
      <c r="F375" s="10"/>
      <c r="G375" s="126"/>
      <c r="H375" s="126"/>
      <c r="I375" s="126"/>
      <c r="J375" s="14"/>
    </row>
    <row r="376" spans="1:10" ht="30" customHeight="1" x14ac:dyDescent="0.2">
      <c r="A376" s="261" t="s">
        <v>394</v>
      </c>
      <c r="B376" s="278" t="s">
        <v>402</v>
      </c>
      <c r="C376" s="272">
        <v>200000</v>
      </c>
      <c r="D376" s="272">
        <v>200000</v>
      </c>
      <c r="E376" s="10"/>
      <c r="F376" s="10"/>
      <c r="G376" s="126"/>
      <c r="H376" s="126"/>
      <c r="I376" s="126"/>
      <c r="J376" s="14"/>
    </row>
    <row r="377" spans="1:10" ht="30" customHeight="1" x14ac:dyDescent="0.2">
      <c r="A377" s="261" t="s">
        <v>900</v>
      </c>
      <c r="B377" s="278" t="s">
        <v>401</v>
      </c>
      <c r="C377" s="259">
        <v>100000</v>
      </c>
      <c r="D377" s="259">
        <f>100000+95430</f>
        <v>195430</v>
      </c>
      <c r="E377" s="10"/>
      <c r="F377" s="10"/>
      <c r="G377" s="126"/>
      <c r="H377" s="126"/>
      <c r="I377" s="126"/>
      <c r="J377" s="14"/>
    </row>
    <row r="378" spans="1:10" ht="30" customHeight="1" x14ac:dyDescent="0.2">
      <c r="A378" s="261" t="s">
        <v>903</v>
      </c>
      <c r="B378" s="278" t="s">
        <v>400</v>
      </c>
      <c r="C378" s="259">
        <v>100000</v>
      </c>
      <c r="D378" s="259">
        <f>100000+8029</f>
        <v>108029</v>
      </c>
      <c r="E378" s="10"/>
      <c r="F378" s="10"/>
      <c r="G378" s="126"/>
      <c r="H378" s="126"/>
      <c r="I378" s="126"/>
      <c r="J378" s="14"/>
    </row>
    <row r="379" spans="1:10" ht="30" customHeight="1" x14ac:dyDescent="0.2">
      <c r="A379" s="261" t="s">
        <v>901</v>
      </c>
      <c r="B379" s="278" t="s">
        <v>399</v>
      </c>
      <c r="C379" s="259">
        <v>100000</v>
      </c>
      <c r="D379" s="259">
        <f>100000+80396</f>
        <v>180396</v>
      </c>
      <c r="E379" s="10"/>
      <c r="F379" s="10"/>
      <c r="G379" s="126"/>
      <c r="H379" s="126"/>
      <c r="I379" s="126"/>
      <c r="J379" s="14"/>
    </row>
    <row r="380" spans="1:10" ht="30" customHeight="1" x14ac:dyDescent="0.2">
      <c r="A380" s="261" t="s">
        <v>394</v>
      </c>
      <c r="B380" s="278" t="s">
        <v>398</v>
      </c>
      <c r="C380" s="259">
        <v>150000</v>
      </c>
      <c r="D380" s="259">
        <v>150000</v>
      </c>
      <c r="E380" s="10"/>
      <c r="F380" s="10"/>
      <c r="G380" s="126"/>
      <c r="H380" s="126"/>
      <c r="I380" s="126"/>
      <c r="J380" s="14"/>
    </row>
    <row r="381" spans="1:10" ht="30" customHeight="1" x14ac:dyDescent="0.2">
      <c r="A381" s="261" t="s">
        <v>891</v>
      </c>
      <c r="B381" s="278" t="s">
        <v>397</v>
      </c>
      <c r="C381" s="259">
        <v>100000</v>
      </c>
      <c r="D381" s="259">
        <f>100000-100000</f>
        <v>0</v>
      </c>
      <c r="E381" s="10"/>
      <c r="F381" s="10"/>
      <c r="G381" s="126"/>
      <c r="H381" s="126"/>
      <c r="I381" s="126"/>
      <c r="J381" s="14"/>
    </row>
    <row r="382" spans="1:10" ht="30" customHeight="1" x14ac:dyDescent="0.2">
      <c r="A382" s="261" t="s">
        <v>902</v>
      </c>
      <c r="B382" s="278" t="s">
        <v>396</v>
      </c>
      <c r="C382" s="259">
        <v>100000</v>
      </c>
      <c r="D382" s="259">
        <f>100000+32035</f>
        <v>132035</v>
      </c>
      <c r="E382" s="10"/>
      <c r="F382" s="10"/>
      <c r="G382" s="126"/>
      <c r="H382" s="126"/>
      <c r="I382" s="126"/>
      <c r="J382" s="14"/>
    </row>
    <row r="383" spans="1:10" ht="30" customHeight="1" x14ac:dyDescent="0.2">
      <c r="A383" s="261" t="s">
        <v>887</v>
      </c>
      <c r="B383" s="260" t="s">
        <v>888</v>
      </c>
      <c r="C383" s="259">
        <v>0</v>
      </c>
      <c r="D383" s="259">
        <v>82280</v>
      </c>
      <c r="E383" s="10"/>
      <c r="F383" s="10"/>
      <c r="G383" s="126"/>
      <c r="H383" s="126"/>
      <c r="I383" s="126"/>
      <c r="J383" s="14"/>
    </row>
    <row r="384" spans="1:10" ht="30" customHeight="1" x14ac:dyDescent="0.2">
      <c r="A384" s="261" t="s">
        <v>394</v>
      </c>
      <c r="B384" s="260" t="s">
        <v>790</v>
      </c>
      <c r="C384" s="259">
        <v>150000</v>
      </c>
      <c r="D384" s="259">
        <v>150000</v>
      </c>
      <c r="E384" s="10"/>
      <c r="F384" s="10"/>
      <c r="G384" s="126"/>
      <c r="H384" s="126"/>
      <c r="I384" s="126"/>
      <c r="J384" s="14"/>
    </row>
    <row r="385" spans="1:10" ht="30" customHeight="1" x14ac:dyDescent="0.2">
      <c r="A385" s="261" t="s">
        <v>394</v>
      </c>
      <c r="B385" s="260" t="s">
        <v>395</v>
      </c>
      <c r="C385" s="259">
        <v>700000</v>
      </c>
      <c r="D385" s="259">
        <v>700000</v>
      </c>
      <c r="E385" s="10"/>
      <c r="F385" s="10"/>
      <c r="G385" s="126"/>
      <c r="H385" s="126"/>
      <c r="I385" s="126"/>
      <c r="J385" s="14"/>
    </row>
    <row r="386" spans="1:10" ht="30" customHeight="1" x14ac:dyDescent="0.2">
      <c r="A386" s="271">
        <v>2221</v>
      </c>
      <c r="B386" s="270" t="s">
        <v>393</v>
      </c>
      <c r="C386" s="269">
        <f>SUM(C387:C387)</f>
        <v>60000</v>
      </c>
      <c r="D386" s="269">
        <f>SUM(D387:D387)</f>
        <v>60000</v>
      </c>
      <c r="E386" s="18"/>
      <c r="F386" s="18"/>
      <c r="G386" s="120"/>
      <c r="H386" s="120"/>
      <c r="I386" s="120"/>
      <c r="J386" s="14"/>
    </row>
    <row r="387" spans="1:10" ht="30" customHeight="1" thickBot="1" x14ac:dyDescent="0.25">
      <c r="A387" s="268" t="s">
        <v>392</v>
      </c>
      <c r="B387" s="257" t="s">
        <v>391</v>
      </c>
      <c r="C387" s="256">
        <v>60000</v>
      </c>
      <c r="D387" s="256">
        <v>60000</v>
      </c>
      <c r="E387" s="484"/>
      <c r="F387" s="253"/>
      <c r="G387" s="126"/>
      <c r="H387" s="151"/>
      <c r="I387" s="151"/>
      <c r="J387" s="14"/>
    </row>
    <row r="388" spans="1:10" ht="30" customHeight="1" thickBot="1" x14ac:dyDescent="0.3">
      <c r="A388" s="267"/>
      <c r="B388" s="266" t="s">
        <v>390</v>
      </c>
      <c r="C388" s="265">
        <f>SUM(C389+C391)</f>
        <v>6295000</v>
      </c>
      <c r="D388" s="265">
        <f>SUM(D389+D391)</f>
        <v>5595000</v>
      </c>
      <c r="E388" s="542"/>
      <c r="F388" s="542"/>
      <c r="G388" s="479"/>
      <c r="H388" s="479"/>
      <c r="I388" s="479"/>
      <c r="J388" s="14"/>
    </row>
    <row r="389" spans="1:10" ht="30" customHeight="1" x14ac:dyDescent="0.2">
      <c r="A389" s="275">
        <v>3613</v>
      </c>
      <c r="B389" s="274" t="s">
        <v>389</v>
      </c>
      <c r="C389" s="273">
        <f>C390</f>
        <v>550000</v>
      </c>
      <c r="D389" s="273">
        <f>D390</f>
        <v>550000</v>
      </c>
      <c r="E389" s="353"/>
      <c r="F389" s="353"/>
      <c r="G389" s="120"/>
      <c r="H389" s="120"/>
      <c r="I389" s="120"/>
      <c r="J389" s="14"/>
    </row>
    <row r="390" spans="1:10" ht="30" customHeight="1" x14ac:dyDescent="0.2">
      <c r="A390" s="261" t="s">
        <v>388</v>
      </c>
      <c r="B390" s="260" t="s">
        <v>387</v>
      </c>
      <c r="C390" s="259">
        <v>550000</v>
      </c>
      <c r="D390" s="259">
        <v>550000</v>
      </c>
      <c r="E390" s="518"/>
      <c r="F390" s="518"/>
      <c r="G390" s="126"/>
      <c r="H390" s="126"/>
      <c r="I390" s="126"/>
      <c r="J390" s="14"/>
    </row>
    <row r="391" spans="1:10" ht="30" customHeight="1" x14ac:dyDescent="0.2">
      <c r="A391" s="271">
        <v>3639</v>
      </c>
      <c r="B391" s="270" t="s">
        <v>386</v>
      </c>
      <c r="C391" s="269">
        <f>SUM(C392:C397)</f>
        <v>5745000</v>
      </c>
      <c r="D391" s="269">
        <f>SUM(D392:D397)</f>
        <v>5045000</v>
      </c>
      <c r="E391" s="254"/>
      <c r="F391" s="519"/>
      <c r="G391" s="120"/>
      <c r="H391" s="121"/>
      <c r="I391" s="121"/>
      <c r="J391" s="6"/>
    </row>
    <row r="392" spans="1:10" ht="30" customHeight="1" x14ac:dyDescent="0.2">
      <c r="A392" s="261" t="s">
        <v>385</v>
      </c>
      <c r="B392" s="260" t="s">
        <v>384</v>
      </c>
      <c r="C392" s="259">
        <v>650000</v>
      </c>
      <c r="D392" s="259">
        <v>650000</v>
      </c>
      <c r="E392" s="543"/>
      <c r="F392" s="544"/>
      <c r="G392" s="126"/>
      <c r="H392" s="126"/>
      <c r="I392" s="126"/>
      <c r="J392" s="6"/>
    </row>
    <row r="393" spans="1:10" ht="30" customHeight="1" x14ac:dyDescent="0.2">
      <c r="A393" s="261" t="s">
        <v>383</v>
      </c>
      <c r="B393" s="260" t="s">
        <v>382</v>
      </c>
      <c r="C393" s="259">
        <v>20000</v>
      </c>
      <c r="D393" s="259">
        <v>20000</v>
      </c>
      <c r="E393" s="545"/>
      <c r="F393" s="519"/>
      <c r="G393" s="126"/>
      <c r="H393" s="126"/>
      <c r="I393" s="126"/>
      <c r="J393" s="14"/>
    </row>
    <row r="394" spans="1:10" ht="30" customHeight="1" x14ac:dyDescent="0.2">
      <c r="A394" s="261" t="s">
        <v>381</v>
      </c>
      <c r="B394" s="260" t="s">
        <v>380</v>
      </c>
      <c r="C394" s="259">
        <v>20000</v>
      </c>
      <c r="D394" s="259">
        <v>20000</v>
      </c>
      <c r="E394" s="546"/>
      <c r="F394" s="253"/>
      <c r="G394" s="126"/>
      <c r="H394" s="126"/>
      <c r="I394" s="126"/>
      <c r="J394" s="14"/>
    </row>
    <row r="395" spans="1:10" ht="30" customHeight="1" x14ac:dyDescent="0.2">
      <c r="A395" s="261" t="s">
        <v>379</v>
      </c>
      <c r="B395" s="260" t="s">
        <v>378</v>
      </c>
      <c r="C395" s="259">
        <v>470000</v>
      </c>
      <c r="D395" s="259">
        <v>470000</v>
      </c>
      <c r="E395" s="250"/>
      <c r="F395" s="249"/>
      <c r="G395" s="126"/>
      <c r="H395" s="117"/>
      <c r="I395" s="117"/>
      <c r="J395" s="14"/>
    </row>
    <row r="396" spans="1:10" ht="48" x14ac:dyDescent="0.2">
      <c r="A396" s="261" t="s">
        <v>377</v>
      </c>
      <c r="B396" s="277" t="s">
        <v>376</v>
      </c>
      <c r="C396" s="259">
        <v>4540000</v>
      </c>
      <c r="D396" s="259">
        <f>4540000-700000</f>
        <v>3840000</v>
      </c>
      <c r="E396" s="209"/>
      <c r="F396" s="209"/>
      <c r="G396" s="126"/>
      <c r="H396" s="130"/>
      <c r="I396" s="130"/>
      <c r="J396" s="6"/>
    </row>
    <row r="397" spans="1:10" ht="30" customHeight="1" thickBot="1" x14ac:dyDescent="0.25">
      <c r="A397" s="261" t="s">
        <v>375</v>
      </c>
      <c r="B397" s="260" t="s">
        <v>374</v>
      </c>
      <c r="C397" s="259">
        <v>45000</v>
      </c>
      <c r="D397" s="259">
        <v>45000</v>
      </c>
      <c r="E397" s="492"/>
      <c r="F397" s="493"/>
      <c r="G397" s="126"/>
      <c r="H397" s="126"/>
      <c r="I397" s="126"/>
      <c r="J397" s="6"/>
    </row>
    <row r="398" spans="1:10" ht="30" customHeight="1" thickBot="1" x14ac:dyDescent="0.3">
      <c r="A398" s="267"/>
      <c r="B398" s="266" t="s">
        <v>373</v>
      </c>
      <c r="C398" s="276">
        <f>SUM(C399,C402,C406,C413)</f>
        <v>63726000</v>
      </c>
      <c r="D398" s="276">
        <f>SUM(D399,D402,D406,D413)</f>
        <v>48726000</v>
      </c>
      <c r="E398" s="43"/>
      <c r="F398" s="43"/>
      <c r="G398" s="479"/>
      <c r="H398" s="479"/>
      <c r="I398" s="479"/>
      <c r="J398" s="14"/>
    </row>
    <row r="399" spans="1:10" ht="30" customHeight="1" x14ac:dyDescent="0.2">
      <c r="A399" s="275">
        <v>3412</v>
      </c>
      <c r="B399" s="274" t="s">
        <v>372</v>
      </c>
      <c r="C399" s="273">
        <f>SUM(C400:C401)</f>
        <v>2500000</v>
      </c>
      <c r="D399" s="273">
        <f>SUM(D400:D401)</f>
        <v>2500000</v>
      </c>
      <c r="E399" s="24"/>
      <c r="F399" s="9"/>
      <c r="G399" s="120"/>
      <c r="H399" s="120"/>
      <c r="I399" s="120"/>
      <c r="J399" s="6"/>
    </row>
    <row r="400" spans="1:10" ht="30" customHeight="1" x14ac:dyDescent="0.2">
      <c r="A400" s="261" t="s">
        <v>370</v>
      </c>
      <c r="B400" s="260" t="s">
        <v>371</v>
      </c>
      <c r="C400" s="259">
        <v>500000</v>
      </c>
      <c r="D400" s="259">
        <v>500000</v>
      </c>
      <c r="E400" s="9"/>
      <c r="F400" s="9"/>
      <c r="G400" s="126"/>
      <c r="H400" s="126"/>
      <c r="I400" s="126"/>
      <c r="J400" s="14"/>
    </row>
    <row r="401" spans="1:10" ht="30" customHeight="1" x14ac:dyDescent="0.2">
      <c r="A401" s="261" t="s">
        <v>370</v>
      </c>
      <c r="B401" s="260" t="s">
        <v>369</v>
      </c>
      <c r="C401" s="259">
        <v>2000000</v>
      </c>
      <c r="D401" s="259">
        <v>2000000</v>
      </c>
      <c r="E401" s="10"/>
      <c r="F401" s="10"/>
      <c r="G401" s="126"/>
      <c r="H401" s="126"/>
      <c r="I401" s="126"/>
      <c r="J401" s="14"/>
    </row>
    <row r="402" spans="1:10" ht="30" customHeight="1" x14ac:dyDescent="0.2">
      <c r="A402" s="271">
        <v>3613</v>
      </c>
      <c r="B402" s="270" t="s">
        <v>368</v>
      </c>
      <c r="C402" s="269">
        <f>SUM(C403:C405)</f>
        <v>8010000</v>
      </c>
      <c r="D402" s="269">
        <f>SUM(D403:D405)</f>
        <v>2010000</v>
      </c>
      <c r="E402" s="18"/>
      <c r="F402" s="18"/>
      <c r="G402" s="120"/>
      <c r="H402" s="120"/>
      <c r="I402" s="120"/>
      <c r="J402" s="14"/>
    </row>
    <row r="403" spans="1:10" ht="30" customHeight="1" x14ac:dyDescent="0.2">
      <c r="A403" s="261" t="s">
        <v>367</v>
      </c>
      <c r="B403" s="260" t="s">
        <v>366</v>
      </c>
      <c r="C403" s="259">
        <v>200000</v>
      </c>
      <c r="D403" s="259">
        <v>200000</v>
      </c>
      <c r="E403" s="10"/>
      <c r="F403" s="10"/>
      <c r="G403" s="126"/>
      <c r="H403" s="126"/>
      <c r="I403" s="126"/>
      <c r="J403" s="14"/>
    </row>
    <row r="404" spans="1:10" ht="30" customHeight="1" x14ac:dyDescent="0.2">
      <c r="A404" s="261" t="s">
        <v>365</v>
      </c>
      <c r="B404" s="260" t="s">
        <v>364</v>
      </c>
      <c r="C404" s="259">
        <v>10000</v>
      </c>
      <c r="D404" s="259">
        <v>10000</v>
      </c>
      <c r="E404" s="10"/>
      <c r="F404" s="10"/>
      <c r="G404" s="126"/>
      <c r="H404" s="126"/>
      <c r="I404" s="126"/>
      <c r="J404" s="14"/>
    </row>
    <row r="405" spans="1:10" ht="30" customHeight="1" x14ac:dyDescent="0.2">
      <c r="A405" s="261" t="s">
        <v>363</v>
      </c>
      <c r="B405" s="260" t="s">
        <v>362</v>
      </c>
      <c r="C405" s="259">
        <v>7800000</v>
      </c>
      <c r="D405" s="259">
        <f>7800000-6000000</f>
        <v>1800000</v>
      </c>
      <c r="E405" s="10"/>
      <c r="F405" s="10"/>
      <c r="G405" s="126"/>
      <c r="H405" s="126"/>
      <c r="I405" s="126"/>
      <c r="J405" s="14"/>
    </row>
    <row r="406" spans="1:10" ht="30" customHeight="1" x14ac:dyDescent="0.2">
      <c r="A406" s="271">
        <v>3631</v>
      </c>
      <c r="B406" s="270" t="s">
        <v>361</v>
      </c>
      <c r="C406" s="269">
        <f>SUM(C407:C412)</f>
        <v>10716000</v>
      </c>
      <c r="D406" s="269">
        <f>SUM(D407:D412)</f>
        <v>9716000</v>
      </c>
      <c r="E406" s="547"/>
      <c r="F406" s="547"/>
      <c r="G406" s="120"/>
      <c r="H406" s="120"/>
      <c r="I406" s="120"/>
      <c r="J406" s="14"/>
    </row>
    <row r="407" spans="1:10" ht="30" customHeight="1" x14ac:dyDescent="0.2">
      <c r="A407" s="261" t="s">
        <v>360</v>
      </c>
      <c r="B407" s="260" t="s">
        <v>359</v>
      </c>
      <c r="C407" s="259">
        <v>6600000</v>
      </c>
      <c r="D407" s="259">
        <f>6600000-1000000</f>
        <v>5600000</v>
      </c>
      <c r="E407" s="10"/>
      <c r="F407" s="11"/>
      <c r="G407" s="126"/>
      <c r="H407" s="126"/>
      <c r="I407" s="126"/>
      <c r="J407" s="14"/>
    </row>
    <row r="408" spans="1:10" ht="30" customHeight="1" x14ac:dyDescent="0.2">
      <c r="A408" s="261" t="s">
        <v>358</v>
      </c>
      <c r="B408" s="260" t="s">
        <v>357</v>
      </c>
      <c r="C408" s="259">
        <v>1400000</v>
      </c>
      <c r="D408" s="259">
        <f>1400000-60000</f>
        <v>1340000</v>
      </c>
      <c r="E408" s="9"/>
      <c r="F408" s="9"/>
      <c r="G408" s="126"/>
      <c r="H408" s="126"/>
      <c r="I408" s="126"/>
      <c r="J408" s="14"/>
    </row>
    <row r="409" spans="1:10" ht="30" customHeight="1" x14ac:dyDescent="0.2">
      <c r="A409" s="261" t="s">
        <v>356</v>
      </c>
      <c r="B409" s="260" t="s">
        <v>355</v>
      </c>
      <c r="C409" s="259">
        <v>1466000</v>
      </c>
      <c r="D409" s="259">
        <v>1466000</v>
      </c>
      <c r="E409" s="104"/>
      <c r="F409" s="104"/>
      <c r="G409" s="126"/>
      <c r="H409" s="130"/>
      <c r="I409" s="130"/>
      <c r="J409" s="14"/>
    </row>
    <row r="410" spans="1:10" ht="30" customHeight="1" x14ac:dyDescent="0.2">
      <c r="A410" s="261" t="s">
        <v>354</v>
      </c>
      <c r="B410" s="260" t="s">
        <v>353</v>
      </c>
      <c r="C410" s="259">
        <v>1200000</v>
      </c>
      <c r="D410" s="259">
        <v>1200000</v>
      </c>
      <c r="E410" s="186"/>
      <c r="F410" s="186"/>
      <c r="G410" s="126"/>
      <c r="H410" s="126"/>
      <c r="I410" s="126"/>
      <c r="J410" s="14"/>
    </row>
    <row r="411" spans="1:10" ht="30" customHeight="1" x14ac:dyDescent="0.2">
      <c r="A411" s="261" t="s">
        <v>352</v>
      </c>
      <c r="B411" s="260" t="s">
        <v>351</v>
      </c>
      <c r="C411" s="272">
        <v>50000</v>
      </c>
      <c r="D411" s="272">
        <v>50000</v>
      </c>
      <c r="E411" s="130"/>
      <c r="F411" s="208"/>
      <c r="G411" s="126"/>
      <c r="H411" s="126"/>
      <c r="I411" s="126"/>
      <c r="J411" s="14"/>
    </row>
    <row r="412" spans="1:10" ht="30" customHeight="1" x14ac:dyDescent="0.2">
      <c r="A412" s="261" t="s">
        <v>352</v>
      </c>
      <c r="B412" s="260" t="s">
        <v>908</v>
      </c>
      <c r="C412" s="272">
        <v>0</v>
      </c>
      <c r="D412" s="272">
        <v>60000</v>
      </c>
      <c r="E412" s="130"/>
      <c r="F412" s="208"/>
      <c r="G412" s="126"/>
      <c r="H412" s="126"/>
      <c r="I412" s="126"/>
      <c r="J412" s="14"/>
    </row>
    <row r="413" spans="1:10" ht="30" customHeight="1" x14ac:dyDescent="0.2">
      <c r="A413" s="271">
        <v>3633</v>
      </c>
      <c r="B413" s="270" t="s">
        <v>350</v>
      </c>
      <c r="C413" s="269">
        <f>SUM(C414:C415)</f>
        <v>42500000</v>
      </c>
      <c r="D413" s="269">
        <f>SUM(D414:D415)</f>
        <v>34500000</v>
      </c>
      <c r="E413" s="491"/>
      <c r="F413" s="223"/>
      <c r="G413" s="120"/>
      <c r="H413" s="120"/>
      <c r="I413" s="120"/>
      <c r="J413" s="6"/>
    </row>
    <row r="414" spans="1:10" ht="30" customHeight="1" x14ac:dyDescent="0.2">
      <c r="A414" s="261" t="s">
        <v>349</v>
      </c>
      <c r="B414" s="260" t="s">
        <v>348</v>
      </c>
      <c r="C414" s="259">
        <v>1500000</v>
      </c>
      <c r="D414" s="259">
        <v>1500000</v>
      </c>
      <c r="E414" s="491"/>
      <c r="F414" s="209"/>
      <c r="G414" s="126"/>
      <c r="H414" s="126"/>
      <c r="I414" s="126"/>
      <c r="J414" s="14"/>
    </row>
    <row r="415" spans="1:10" ht="30" customHeight="1" thickBot="1" x14ac:dyDescent="0.25">
      <c r="A415" s="261" t="s">
        <v>347</v>
      </c>
      <c r="B415" s="260" t="s">
        <v>346</v>
      </c>
      <c r="C415" s="259">
        <v>41000000</v>
      </c>
      <c r="D415" s="259">
        <f>41000000-8000000</f>
        <v>33000000</v>
      </c>
      <c r="E415" s="210"/>
      <c r="F415" s="209"/>
      <c r="G415" s="126"/>
      <c r="H415" s="126"/>
      <c r="I415" s="126"/>
      <c r="J415" s="14"/>
    </row>
    <row r="416" spans="1:10" ht="30" customHeight="1" thickBot="1" x14ac:dyDescent="0.3">
      <c r="A416" s="267"/>
      <c r="B416" s="266" t="s">
        <v>345</v>
      </c>
      <c r="C416" s="265">
        <f>SUM(C417:C420)</f>
        <v>472500</v>
      </c>
      <c r="D416" s="265">
        <f>SUM(D417:D420)</f>
        <v>172500</v>
      </c>
      <c r="E416" s="43"/>
      <c r="F416" s="43"/>
      <c r="G416" s="479"/>
      <c r="H416" s="479"/>
      <c r="I416" s="479"/>
      <c r="J416" s="6"/>
    </row>
    <row r="417" spans="1:735" ht="30" customHeight="1" x14ac:dyDescent="0.2">
      <c r="A417" s="264" t="s">
        <v>344</v>
      </c>
      <c r="B417" s="263" t="s">
        <v>343</v>
      </c>
      <c r="C417" s="262">
        <v>150000</v>
      </c>
      <c r="D417" s="262">
        <f>150000-150000</f>
        <v>0</v>
      </c>
      <c r="E417" s="492"/>
      <c r="F417" s="9"/>
      <c r="G417" s="126"/>
      <c r="H417" s="126"/>
      <c r="I417" s="126"/>
      <c r="J417" s="14"/>
    </row>
    <row r="418" spans="1:735" ht="30" customHeight="1" x14ac:dyDescent="0.2">
      <c r="A418" s="261" t="s">
        <v>342</v>
      </c>
      <c r="B418" s="260" t="s">
        <v>341</v>
      </c>
      <c r="C418" s="259">
        <v>150000</v>
      </c>
      <c r="D418" s="259">
        <f>150000-150000</f>
        <v>0</v>
      </c>
      <c r="E418" s="10"/>
      <c r="F418" s="10"/>
      <c r="G418" s="126"/>
      <c r="H418" s="126"/>
      <c r="I418" s="126"/>
      <c r="J418" s="14"/>
    </row>
    <row r="419" spans="1:735" ht="30" customHeight="1" x14ac:dyDescent="0.2">
      <c r="A419" s="261" t="s">
        <v>340</v>
      </c>
      <c r="B419" s="260" t="s">
        <v>339</v>
      </c>
      <c r="C419" s="259">
        <v>172500</v>
      </c>
      <c r="D419" s="259">
        <v>172500</v>
      </c>
      <c r="E419" s="210"/>
      <c r="F419" s="10"/>
      <c r="G419" s="126"/>
      <c r="H419" s="126"/>
      <c r="I419" s="126"/>
      <c r="J419" s="14"/>
    </row>
    <row r="420" spans="1:735" ht="30" customHeight="1" thickBot="1" x14ac:dyDescent="0.25">
      <c r="A420" s="258"/>
      <c r="B420" s="257"/>
      <c r="C420" s="256"/>
      <c r="D420" s="256"/>
      <c r="E420" s="11"/>
      <c r="F420" s="11"/>
      <c r="G420" s="151"/>
      <c r="H420" s="151"/>
      <c r="I420" s="151"/>
      <c r="J420" s="14"/>
    </row>
    <row r="421" spans="1:735" ht="30" customHeight="1" thickBot="1" x14ac:dyDescent="0.25">
      <c r="A421" s="255"/>
      <c r="B421" s="243" t="s">
        <v>338</v>
      </c>
      <c r="C421" s="242">
        <f>SUM(C422:C424)</f>
        <v>3640000</v>
      </c>
      <c r="D421" s="242">
        <f>SUM(D422:D424)</f>
        <v>2714871</v>
      </c>
      <c r="E421" s="48"/>
      <c r="F421" s="48"/>
      <c r="G421" s="571"/>
      <c r="H421" s="181"/>
      <c r="I421" s="181"/>
      <c r="J421" s="6"/>
    </row>
    <row r="422" spans="1:735" ht="30" customHeight="1" x14ac:dyDescent="0.2">
      <c r="A422" s="248">
        <v>2141</v>
      </c>
      <c r="B422" s="175" t="s">
        <v>337</v>
      </c>
      <c r="C422" s="120">
        <v>950000</v>
      </c>
      <c r="D422" s="120">
        <f>950000-810000+2000000</f>
        <v>2140000</v>
      </c>
      <c r="E422" s="494"/>
      <c r="F422" s="208"/>
      <c r="G422" s="120"/>
      <c r="H422" s="120"/>
      <c r="I422" s="120"/>
      <c r="J422" s="6"/>
    </row>
    <row r="423" spans="1:735" ht="30" customHeight="1" x14ac:dyDescent="0.2">
      <c r="A423" s="20">
        <v>3341</v>
      </c>
      <c r="B423" s="123" t="s">
        <v>336</v>
      </c>
      <c r="C423" s="120">
        <v>2670000</v>
      </c>
      <c r="D423" s="120">
        <f>2670000-2095129</f>
        <v>574871</v>
      </c>
      <c r="E423" s="494"/>
      <c r="F423" s="208"/>
      <c r="G423" s="120"/>
      <c r="H423" s="120"/>
      <c r="I423" s="120"/>
      <c r="J423" s="14"/>
    </row>
    <row r="424" spans="1:735" ht="30" customHeight="1" x14ac:dyDescent="0.2">
      <c r="A424" s="180">
        <v>3399</v>
      </c>
      <c r="B424" s="123" t="s">
        <v>335</v>
      </c>
      <c r="C424" s="120">
        <v>20000</v>
      </c>
      <c r="D424" s="120">
        <f>20000-20000</f>
        <v>0</v>
      </c>
      <c r="E424" s="494"/>
      <c r="F424" s="208"/>
      <c r="G424" s="120"/>
      <c r="H424" s="120"/>
      <c r="I424" s="120"/>
      <c r="J424" s="14"/>
    </row>
    <row r="425" spans="1:735" s="17" customFormat="1" ht="30" customHeight="1" thickBot="1" x14ac:dyDescent="0.3">
      <c r="A425" s="252"/>
      <c r="B425" s="251"/>
      <c r="C425" s="117"/>
      <c r="D425" s="117"/>
      <c r="E425" s="117"/>
      <c r="F425" s="352"/>
      <c r="G425" s="151"/>
      <c r="H425" s="151"/>
      <c r="I425" s="151"/>
      <c r="J425" s="14"/>
      <c r="K425" s="579"/>
      <c r="L425" s="579"/>
      <c r="M425" s="579"/>
      <c r="N425" s="579"/>
      <c r="O425" s="579"/>
      <c r="P425" s="579"/>
      <c r="Q425" s="579"/>
      <c r="R425" s="579"/>
      <c r="S425" s="579"/>
      <c r="T425" s="579"/>
      <c r="U425" s="579"/>
      <c r="V425" s="579"/>
      <c r="W425" s="579"/>
      <c r="X425" s="579"/>
      <c r="Y425" s="579"/>
      <c r="Z425" s="579"/>
      <c r="AA425" s="579"/>
      <c r="AB425" s="579"/>
      <c r="AC425" s="579"/>
      <c r="AD425" s="579"/>
      <c r="AE425" s="579"/>
      <c r="AF425" s="579"/>
      <c r="AG425" s="579"/>
      <c r="AH425" s="579"/>
      <c r="AI425" s="579"/>
      <c r="AJ425" s="579"/>
      <c r="AK425" s="579"/>
      <c r="AL425" s="579"/>
      <c r="AM425" s="579"/>
      <c r="AN425" s="579"/>
      <c r="AO425" s="579"/>
      <c r="AP425" s="579"/>
      <c r="AQ425" s="579"/>
      <c r="AR425" s="579"/>
      <c r="AS425" s="579"/>
      <c r="AT425" s="579"/>
      <c r="AU425" s="579"/>
      <c r="AV425" s="579"/>
      <c r="AW425" s="579"/>
      <c r="AX425" s="579"/>
      <c r="AY425" s="579"/>
      <c r="AZ425" s="579"/>
      <c r="BA425" s="579"/>
      <c r="BB425" s="579"/>
      <c r="BC425" s="579"/>
      <c r="BD425" s="579"/>
      <c r="BE425" s="579"/>
      <c r="BF425" s="579"/>
      <c r="BG425" s="579"/>
      <c r="BH425" s="579"/>
      <c r="BI425" s="579"/>
      <c r="BJ425" s="579"/>
      <c r="BK425" s="579"/>
      <c r="BL425" s="579"/>
      <c r="BM425" s="579"/>
      <c r="BN425" s="579"/>
      <c r="BO425" s="579"/>
      <c r="BP425" s="579"/>
      <c r="BQ425" s="579"/>
      <c r="BR425" s="579"/>
      <c r="BS425" s="579"/>
      <c r="BT425" s="579"/>
      <c r="BU425" s="579"/>
      <c r="BV425" s="579"/>
      <c r="BW425" s="579"/>
      <c r="BX425" s="579"/>
      <c r="BY425" s="579"/>
      <c r="BZ425" s="579"/>
      <c r="CA425" s="579"/>
      <c r="CB425" s="579"/>
      <c r="CC425" s="579"/>
      <c r="CD425" s="579"/>
      <c r="CE425" s="579"/>
      <c r="CF425" s="579"/>
      <c r="CG425" s="579"/>
      <c r="CH425" s="579"/>
      <c r="CI425" s="579"/>
      <c r="CJ425" s="579"/>
      <c r="CK425" s="579"/>
      <c r="CL425" s="579"/>
      <c r="CM425" s="579"/>
      <c r="CN425" s="579"/>
      <c r="CO425" s="579"/>
      <c r="CP425" s="579"/>
      <c r="CQ425" s="579"/>
      <c r="CR425" s="579"/>
      <c r="CS425" s="579"/>
      <c r="CT425" s="579"/>
      <c r="CU425" s="579"/>
      <c r="CV425" s="579"/>
      <c r="CW425" s="579"/>
      <c r="CX425" s="579"/>
      <c r="CY425" s="579"/>
      <c r="CZ425" s="579"/>
      <c r="DA425" s="579"/>
      <c r="DB425" s="579"/>
      <c r="DC425" s="579"/>
      <c r="DD425" s="579"/>
      <c r="DE425" s="579"/>
      <c r="DF425" s="579"/>
      <c r="DG425" s="579"/>
      <c r="DH425" s="579"/>
      <c r="DI425" s="579"/>
      <c r="DJ425" s="579"/>
      <c r="DK425" s="579"/>
      <c r="DL425" s="579"/>
      <c r="DM425" s="579"/>
      <c r="DN425" s="579"/>
      <c r="DO425" s="579"/>
      <c r="DP425" s="579"/>
      <c r="DQ425" s="579"/>
      <c r="DR425" s="579"/>
      <c r="DS425" s="579"/>
      <c r="DT425" s="579"/>
      <c r="DU425" s="579"/>
      <c r="DV425" s="579"/>
      <c r="DW425" s="579"/>
      <c r="DX425" s="579"/>
      <c r="DY425" s="579"/>
      <c r="DZ425" s="579"/>
      <c r="EA425" s="579"/>
      <c r="EB425" s="579"/>
      <c r="EC425" s="579"/>
      <c r="ED425" s="579"/>
      <c r="EE425" s="579"/>
      <c r="EF425" s="579"/>
      <c r="EG425" s="579"/>
      <c r="EH425" s="579"/>
      <c r="EI425" s="579"/>
      <c r="EJ425" s="579"/>
      <c r="EK425" s="579"/>
      <c r="EL425" s="579"/>
      <c r="EM425" s="579"/>
      <c r="EN425" s="579"/>
      <c r="EO425" s="579"/>
      <c r="EP425" s="579"/>
      <c r="EQ425" s="579"/>
      <c r="ER425" s="579"/>
      <c r="ES425" s="579"/>
      <c r="ET425" s="579"/>
      <c r="EU425" s="579"/>
      <c r="EV425" s="579"/>
      <c r="EW425" s="579"/>
      <c r="EX425" s="579"/>
      <c r="EY425" s="579"/>
      <c r="EZ425" s="579"/>
      <c r="FA425" s="579"/>
      <c r="FB425" s="579"/>
      <c r="FC425" s="579"/>
      <c r="FD425" s="579"/>
      <c r="FE425" s="579"/>
      <c r="FF425" s="579"/>
      <c r="FG425" s="579"/>
      <c r="FH425" s="579"/>
      <c r="FI425" s="579"/>
      <c r="FJ425" s="579"/>
      <c r="FK425" s="579"/>
      <c r="FL425" s="579"/>
      <c r="FM425" s="579"/>
      <c r="FN425" s="579"/>
      <c r="FO425" s="579"/>
      <c r="FP425" s="579"/>
      <c r="FQ425" s="579"/>
      <c r="FR425" s="579"/>
      <c r="FS425" s="579"/>
      <c r="FT425" s="579"/>
      <c r="FU425" s="579"/>
      <c r="FV425" s="579"/>
      <c r="FW425" s="579"/>
      <c r="FX425" s="579"/>
      <c r="FY425" s="579"/>
      <c r="FZ425" s="579"/>
      <c r="GA425" s="579"/>
      <c r="GB425" s="579"/>
      <c r="GC425" s="579"/>
      <c r="GD425" s="579"/>
      <c r="GE425" s="579"/>
      <c r="GF425" s="579"/>
      <c r="GG425" s="579"/>
      <c r="GH425" s="579"/>
      <c r="GI425" s="579"/>
      <c r="GJ425" s="579"/>
      <c r="GK425" s="579"/>
      <c r="GL425" s="579"/>
      <c r="GM425" s="579"/>
      <c r="GN425" s="579"/>
      <c r="GO425" s="579"/>
      <c r="GP425" s="579"/>
      <c r="GQ425" s="579"/>
      <c r="GR425" s="579"/>
      <c r="GS425" s="579"/>
      <c r="GT425" s="579"/>
      <c r="GU425" s="579"/>
      <c r="GV425" s="579"/>
      <c r="GW425" s="579"/>
      <c r="GX425" s="579"/>
      <c r="GY425" s="579"/>
      <c r="GZ425" s="579"/>
      <c r="HA425" s="579"/>
      <c r="HB425" s="579"/>
      <c r="HC425" s="579"/>
      <c r="HD425" s="579"/>
      <c r="HE425" s="579"/>
      <c r="HF425" s="579"/>
      <c r="HG425" s="579"/>
      <c r="HH425" s="579"/>
      <c r="HI425" s="579"/>
      <c r="HJ425" s="579"/>
      <c r="HK425" s="579"/>
      <c r="HL425" s="579"/>
      <c r="HM425" s="579"/>
      <c r="HN425" s="579"/>
      <c r="HO425" s="579"/>
      <c r="HP425" s="579"/>
      <c r="HQ425" s="579"/>
      <c r="HR425" s="579"/>
      <c r="HS425" s="579"/>
      <c r="HT425" s="579"/>
      <c r="HU425" s="579"/>
      <c r="HV425" s="579"/>
      <c r="HW425" s="579"/>
      <c r="HX425" s="579"/>
      <c r="HY425" s="579"/>
      <c r="HZ425" s="579"/>
      <c r="IA425" s="579"/>
      <c r="IB425" s="579"/>
      <c r="IC425" s="579"/>
      <c r="ID425" s="579"/>
      <c r="IE425" s="579"/>
      <c r="IF425" s="579"/>
      <c r="IG425" s="579"/>
      <c r="IH425" s="579"/>
      <c r="II425" s="579"/>
      <c r="IJ425" s="579"/>
      <c r="IK425" s="579"/>
      <c r="IL425" s="579"/>
      <c r="IM425" s="579"/>
      <c r="IN425" s="579"/>
      <c r="IO425" s="579"/>
      <c r="IP425" s="579"/>
      <c r="IQ425" s="579"/>
      <c r="IR425" s="579"/>
      <c r="IS425" s="579"/>
      <c r="IT425" s="579"/>
      <c r="IU425" s="579"/>
      <c r="IV425" s="579"/>
      <c r="IW425" s="579"/>
      <c r="IX425" s="579"/>
      <c r="IY425" s="579"/>
      <c r="IZ425" s="579"/>
      <c r="JA425" s="579"/>
      <c r="JB425" s="579"/>
      <c r="JC425" s="579"/>
      <c r="JD425" s="579"/>
      <c r="JE425" s="579"/>
      <c r="JF425" s="579"/>
      <c r="JG425" s="579"/>
      <c r="JH425" s="579"/>
      <c r="JI425" s="579"/>
      <c r="JJ425" s="579"/>
      <c r="JK425" s="579"/>
      <c r="JL425" s="579"/>
      <c r="JM425" s="579"/>
      <c r="JN425" s="579"/>
      <c r="JO425" s="579"/>
      <c r="JP425" s="579"/>
      <c r="JQ425" s="579"/>
      <c r="JR425" s="579"/>
      <c r="JS425" s="579"/>
      <c r="JT425" s="579"/>
      <c r="JU425" s="579"/>
      <c r="JV425" s="579"/>
      <c r="JW425" s="579"/>
      <c r="JX425" s="579"/>
      <c r="JY425" s="579"/>
      <c r="JZ425" s="579"/>
      <c r="KA425" s="579"/>
      <c r="KB425" s="579"/>
      <c r="KC425" s="579"/>
      <c r="KD425" s="579"/>
      <c r="KE425" s="579"/>
      <c r="KF425" s="579"/>
      <c r="KG425" s="579"/>
      <c r="KH425" s="579"/>
      <c r="KI425" s="579"/>
      <c r="KJ425" s="579"/>
      <c r="KK425" s="579"/>
      <c r="KL425" s="579"/>
      <c r="KM425" s="579"/>
      <c r="KN425" s="579"/>
      <c r="KO425" s="579"/>
      <c r="KP425" s="579"/>
      <c r="KQ425" s="579"/>
      <c r="KR425" s="579"/>
      <c r="KS425" s="579"/>
      <c r="KT425" s="579"/>
      <c r="KU425" s="579"/>
      <c r="KV425" s="579"/>
      <c r="KW425" s="579"/>
      <c r="KX425" s="579"/>
      <c r="KY425" s="579"/>
      <c r="KZ425" s="579"/>
      <c r="LA425" s="579"/>
      <c r="LB425" s="579"/>
      <c r="LC425" s="579"/>
      <c r="LD425" s="579"/>
      <c r="LE425" s="579"/>
      <c r="LF425" s="579"/>
      <c r="LG425" s="579"/>
      <c r="LH425" s="579"/>
      <c r="LI425" s="579"/>
      <c r="LJ425" s="579"/>
      <c r="LK425" s="579"/>
      <c r="LL425" s="579"/>
      <c r="LM425" s="579"/>
      <c r="LN425" s="579"/>
      <c r="LO425" s="579"/>
      <c r="LP425" s="579"/>
      <c r="LQ425" s="579"/>
      <c r="LR425" s="579"/>
      <c r="LS425" s="579"/>
      <c r="LT425" s="579"/>
      <c r="LU425" s="579"/>
      <c r="LV425" s="579"/>
      <c r="LW425" s="579"/>
      <c r="LX425" s="579"/>
      <c r="LY425" s="579"/>
      <c r="LZ425" s="579"/>
      <c r="MA425" s="579"/>
      <c r="MB425" s="579"/>
      <c r="MC425" s="579"/>
      <c r="MD425" s="579"/>
      <c r="ME425" s="579"/>
      <c r="MF425" s="579"/>
      <c r="MG425" s="579"/>
      <c r="MH425" s="579"/>
      <c r="MI425" s="579"/>
      <c r="MJ425" s="579"/>
      <c r="MK425" s="579"/>
      <c r="ML425" s="579"/>
      <c r="MM425" s="579"/>
      <c r="MN425" s="579"/>
      <c r="MO425" s="579"/>
      <c r="MP425" s="579"/>
      <c r="MQ425" s="579"/>
      <c r="MR425" s="579"/>
      <c r="MS425" s="579"/>
      <c r="MT425" s="579"/>
      <c r="MU425" s="579"/>
      <c r="MV425" s="579"/>
      <c r="MW425" s="579"/>
      <c r="MX425" s="579"/>
      <c r="MY425" s="579"/>
      <c r="MZ425" s="579"/>
      <c r="NA425" s="579"/>
      <c r="NB425" s="579"/>
      <c r="NC425" s="579"/>
      <c r="ND425" s="579"/>
      <c r="NE425" s="579"/>
      <c r="NF425" s="579"/>
      <c r="NG425" s="579"/>
      <c r="NH425" s="579"/>
      <c r="NI425" s="579"/>
      <c r="NJ425" s="579"/>
      <c r="NK425" s="579"/>
      <c r="NL425" s="579"/>
      <c r="NM425" s="579"/>
      <c r="NN425" s="579"/>
      <c r="NO425" s="579"/>
      <c r="NP425" s="579"/>
      <c r="NQ425" s="579"/>
      <c r="NR425" s="579"/>
      <c r="NS425" s="579"/>
      <c r="NT425" s="579"/>
      <c r="NU425" s="579"/>
      <c r="NV425" s="579"/>
      <c r="NW425" s="579"/>
      <c r="NX425" s="579"/>
      <c r="NY425" s="579"/>
      <c r="NZ425" s="579"/>
      <c r="OA425" s="579"/>
      <c r="OB425" s="579"/>
      <c r="OC425" s="579"/>
      <c r="OD425" s="579"/>
      <c r="OE425" s="579"/>
      <c r="OF425" s="579"/>
      <c r="OG425" s="579"/>
      <c r="OH425" s="579"/>
      <c r="OI425" s="579"/>
      <c r="OJ425" s="579"/>
      <c r="OK425" s="579"/>
      <c r="OL425" s="579"/>
      <c r="OM425" s="579"/>
      <c r="ON425" s="579"/>
      <c r="OO425" s="579"/>
      <c r="OP425" s="579"/>
      <c r="OQ425" s="579"/>
      <c r="OR425" s="579"/>
      <c r="OS425" s="579"/>
      <c r="OT425" s="579"/>
      <c r="OU425" s="579"/>
      <c r="OV425" s="579"/>
      <c r="OW425" s="579"/>
      <c r="OX425" s="579"/>
      <c r="OY425" s="579"/>
      <c r="OZ425" s="579"/>
      <c r="PA425" s="579"/>
      <c r="PB425" s="579"/>
      <c r="PC425" s="579"/>
      <c r="PD425" s="579"/>
      <c r="PE425" s="579"/>
      <c r="PF425" s="579"/>
      <c r="PG425" s="579"/>
      <c r="PH425" s="579"/>
      <c r="PI425" s="579"/>
      <c r="PJ425" s="579"/>
      <c r="PK425" s="579"/>
      <c r="PL425" s="579"/>
      <c r="PM425" s="579"/>
      <c r="PN425" s="579"/>
      <c r="PO425" s="579"/>
      <c r="PP425" s="579"/>
      <c r="PQ425" s="579"/>
      <c r="PR425" s="579"/>
      <c r="PS425" s="579"/>
      <c r="PT425" s="579"/>
      <c r="PU425" s="579"/>
      <c r="PV425" s="579"/>
      <c r="PW425" s="579"/>
      <c r="PX425" s="579"/>
      <c r="PY425" s="579"/>
      <c r="PZ425" s="579"/>
      <c r="QA425" s="579"/>
      <c r="QB425" s="579"/>
      <c r="QC425" s="579"/>
      <c r="QD425" s="579"/>
      <c r="QE425" s="579"/>
      <c r="QF425" s="579"/>
      <c r="QG425" s="579"/>
      <c r="QH425" s="579"/>
      <c r="QI425" s="579"/>
      <c r="QJ425" s="579"/>
      <c r="QK425" s="579"/>
      <c r="QL425" s="579"/>
      <c r="QM425" s="579"/>
      <c r="QN425" s="579"/>
      <c r="QO425" s="579"/>
      <c r="QP425" s="579"/>
      <c r="QQ425" s="579"/>
      <c r="QR425" s="579"/>
      <c r="QS425" s="579"/>
      <c r="QT425" s="579"/>
      <c r="QU425" s="579"/>
      <c r="QV425" s="579"/>
      <c r="QW425" s="579"/>
      <c r="QX425" s="579"/>
      <c r="QY425" s="579"/>
      <c r="QZ425" s="579"/>
      <c r="RA425" s="579"/>
      <c r="RB425" s="579"/>
      <c r="RC425" s="579"/>
      <c r="RD425" s="579"/>
      <c r="RE425" s="579"/>
      <c r="RF425" s="579"/>
      <c r="RG425" s="579"/>
      <c r="RH425" s="579"/>
      <c r="RI425" s="579"/>
      <c r="RJ425" s="579"/>
      <c r="RK425" s="579"/>
      <c r="RL425" s="579"/>
      <c r="RM425" s="579"/>
      <c r="RN425" s="579"/>
      <c r="RO425" s="579"/>
      <c r="RP425" s="579"/>
      <c r="RQ425" s="579"/>
      <c r="RR425" s="579"/>
      <c r="RS425" s="579"/>
      <c r="RT425" s="579"/>
      <c r="RU425" s="579"/>
      <c r="RV425" s="579"/>
      <c r="RW425" s="579"/>
      <c r="RX425" s="579"/>
      <c r="RY425" s="579"/>
      <c r="RZ425" s="579"/>
      <c r="SA425" s="579"/>
      <c r="SB425" s="579"/>
      <c r="SC425" s="579"/>
      <c r="SD425" s="579"/>
      <c r="SE425" s="579"/>
      <c r="SF425" s="579"/>
      <c r="SG425" s="579"/>
      <c r="SH425" s="579"/>
      <c r="SI425" s="579"/>
      <c r="SJ425" s="579"/>
      <c r="SK425" s="579"/>
      <c r="SL425" s="579"/>
      <c r="SM425" s="579"/>
      <c r="SN425" s="579"/>
      <c r="SO425" s="579"/>
      <c r="SP425" s="579"/>
      <c r="SQ425" s="579"/>
      <c r="SR425" s="579"/>
      <c r="SS425" s="579"/>
      <c r="ST425" s="579"/>
      <c r="SU425" s="579"/>
      <c r="SV425" s="579"/>
      <c r="SW425" s="579"/>
      <c r="SX425" s="579"/>
      <c r="SY425" s="579"/>
      <c r="SZ425" s="579"/>
      <c r="TA425" s="579"/>
      <c r="TB425" s="579"/>
      <c r="TC425" s="579"/>
      <c r="TD425" s="579"/>
      <c r="TE425" s="579"/>
      <c r="TF425" s="579"/>
      <c r="TG425" s="579"/>
      <c r="TH425" s="579"/>
      <c r="TI425" s="579"/>
      <c r="TJ425" s="579"/>
      <c r="TK425" s="579"/>
      <c r="TL425" s="579"/>
      <c r="TM425" s="579"/>
      <c r="TN425" s="579"/>
      <c r="TO425" s="579"/>
      <c r="TP425" s="579"/>
      <c r="TQ425" s="579"/>
      <c r="TR425" s="579"/>
      <c r="TS425" s="579"/>
      <c r="TT425" s="579"/>
      <c r="TU425" s="579"/>
      <c r="TV425" s="579"/>
      <c r="TW425" s="579"/>
      <c r="TX425" s="579"/>
      <c r="TY425" s="579"/>
      <c r="TZ425" s="579"/>
      <c r="UA425" s="579"/>
      <c r="UB425" s="579"/>
      <c r="UC425" s="579"/>
      <c r="UD425" s="579"/>
      <c r="UE425" s="579"/>
      <c r="UF425" s="579"/>
      <c r="UG425" s="579"/>
      <c r="UH425" s="579"/>
      <c r="UI425" s="579"/>
      <c r="UJ425" s="579"/>
      <c r="UK425" s="579"/>
      <c r="UL425" s="579"/>
      <c r="UM425" s="579"/>
      <c r="UN425" s="579"/>
      <c r="UO425" s="579"/>
      <c r="UP425" s="579"/>
      <c r="UQ425" s="579"/>
      <c r="UR425" s="579"/>
      <c r="US425" s="579"/>
      <c r="UT425" s="579"/>
      <c r="UU425" s="579"/>
      <c r="UV425" s="579"/>
      <c r="UW425" s="579"/>
      <c r="UX425" s="579"/>
      <c r="UY425" s="579"/>
      <c r="UZ425" s="579"/>
      <c r="VA425" s="579"/>
      <c r="VB425" s="579"/>
      <c r="VC425" s="579"/>
      <c r="VD425" s="579"/>
      <c r="VE425" s="579"/>
      <c r="VF425" s="579"/>
      <c r="VG425" s="579"/>
      <c r="VH425" s="579"/>
      <c r="VI425" s="579"/>
      <c r="VJ425" s="579"/>
      <c r="VK425" s="579"/>
      <c r="VL425" s="579"/>
      <c r="VM425" s="579"/>
      <c r="VN425" s="579"/>
      <c r="VO425" s="579"/>
      <c r="VP425" s="579"/>
      <c r="VQ425" s="579"/>
      <c r="VR425" s="579"/>
      <c r="VS425" s="579"/>
      <c r="VT425" s="579"/>
      <c r="VU425" s="579"/>
      <c r="VV425" s="579"/>
      <c r="VW425" s="579"/>
      <c r="VX425" s="579"/>
      <c r="VY425" s="579"/>
      <c r="VZ425" s="579"/>
      <c r="WA425" s="579"/>
      <c r="WB425" s="579"/>
      <c r="WC425" s="579"/>
      <c r="WD425" s="579"/>
      <c r="WE425" s="579"/>
      <c r="WF425" s="579"/>
      <c r="WG425" s="579"/>
      <c r="WH425" s="579"/>
      <c r="WI425" s="579"/>
      <c r="WJ425" s="579"/>
      <c r="WK425" s="579"/>
      <c r="WL425" s="579"/>
      <c r="WM425" s="579"/>
      <c r="WN425" s="579"/>
      <c r="WO425" s="579"/>
      <c r="WP425" s="579"/>
      <c r="WQ425" s="579"/>
      <c r="WR425" s="579"/>
      <c r="WS425" s="579"/>
      <c r="WT425" s="579"/>
      <c r="WU425" s="579"/>
      <c r="WV425" s="579"/>
      <c r="WW425" s="579"/>
      <c r="WX425" s="579"/>
      <c r="WY425" s="579"/>
      <c r="WZ425" s="579"/>
      <c r="XA425" s="579"/>
      <c r="XB425" s="579"/>
      <c r="XC425" s="579"/>
      <c r="XD425" s="579"/>
      <c r="XE425" s="579"/>
      <c r="XF425" s="579"/>
      <c r="XG425" s="579"/>
      <c r="XH425" s="579"/>
      <c r="XI425" s="579"/>
      <c r="XJ425" s="579"/>
      <c r="XK425" s="579"/>
      <c r="XL425" s="579"/>
      <c r="XM425" s="579"/>
      <c r="XN425" s="579"/>
      <c r="XO425" s="579"/>
      <c r="XP425" s="579"/>
      <c r="XQ425" s="579"/>
      <c r="XR425" s="579"/>
      <c r="XS425" s="579"/>
      <c r="XT425" s="579"/>
      <c r="XU425" s="579"/>
      <c r="XV425" s="579"/>
      <c r="XW425" s="579"/>
      <c r="XX425" s="579"/>
      <c r="XY425" s="579"/>
      <c r="XZ425" s="579"/>
      <c r="YA425" s="579"/>
      <c r="YB425" s="579"/>
      <c r="YC425" s="579"/>
      <c r="YD425" s="579"/>
      <c r="YE425" s="579"/>
      <c r="YF425" s="579"/>
      <c r="YG425" s="579"/>
      <c r="YH425" s="579"/>
      <c r="YI425" s="579"/>
      <c r="YJ425" s="579"/>
      <c r="YK425" s="579"/>
      <c r="YL425" s="579"/>
      <c r="YM425" s="579"/>
      <c r="YN425" s="579"/>
      <c r="YO425" s="579"/>
      <c r="YP425" s="579"/>
      <c r="YQ425" s="579"/>
      <c r="YR425" s="579"/>
      <c r="YS425" s="579"/>
      <c r="YT425" s="579"/>
      <c r="YU425" s="579"/>
      <c r="YV425" s="579"/>
      <c r="YW425" s="579"/>
      <c r="YX425" s="579"/>
      <c r="YY425" s="579"/>
      <c r="YZ425" s="579"/>
      <c r="ZA425" s="579"/>
      <c r="ZB425" s="579"/>
      <c r="ZC425" s="579"/>
      <c r="ZD425" s="579"/>
      <c r="ZE425" s="579"/>
      <c r="ZF425" s="579"/>
      <c r="ZG425" s="579"/>
      <c r="ZH425" s="579"/>
      <c r="ZI425" s="579"/>
      <c r="ZJ425" s="579"/>
      <c r="ZK425" s="579"/>
      <c r="ZL425" s="579"/>
      <c r="ZM425" s="579"/>
      <c r="ZN425" s="579"/>
      <c r="ZO425" s="579"/>
      <c r="ZP425" s="579"/>
      <c r="ZQ425" s="579"/>
      <c r="ZR425" s="579"/>
      <c r="ZS425" s="579"/>
      <c r="ZT425" s="579"/>
      <c r="ZU425" s="579"/>
      <c r="ZV425" s="579"/>
      <c r="ZW425" s="579"/>
      <c r="ZX425" s="579"/>
      <c r="ZY425" s="579"/>
      <c r="ZZ425" s="579"/>
      <c r="AAA425" s="579"/>
      <c r="AAB425" s="579"/>
      <c r="AAC425" s="579"/>
      <c r="AAD425" s="579"/>
      <c r="AAE425" s="579"/>
      <c r="AAF425" s="579"/>
      <c r="AAG425" s="579"/>
      <c r="AAH425" s="579"/>
      <c r="AAI425" s="579"/>
      <c r="AAJ425" s="579"/>
      <c r="AAK425" s="579"/>
      <c r="AAL425" s="579"/>
      <c r="AAM425" s="579"/>
      <c r="AAN425" s="579"/>
      <c r="AAO425" s="579"/>
      <c r="AAP425" s="579"/>
      <c r="AAQ425" s="579"/>
      <c r="AAR425" s="579"/>
      <c r="AAS425" s="579"/>
      <c r="AAT425" s="579"/>
      <c r="AAU425" s="579"/>
      <c r="AAV425" s="579"/>
      <c r="AAW425" s="579"/>
      <c r="AAX425" s="579"/>
      <c r="AAY425" s="579"/>
      <c r="AAZ425" s="579"/>
      <c r="ABA425" s="579"/>
      <c r="ABB425" s="579"/>
      <c r="ABC425" s="579"/>
      <c r="ABD425" s="579"/>
      <c r="ABE425" s="579"/>
      <c r="ABF425" s="579"/>
      <c r="ABG425" s="579"/>
    </row>
    <row r="426" spans="1:735" s="246" customFormat="1" ht="30" customHeight="1" thickBot="1" x14ac:dyDescent="0.35">
      <c r="A426" s="230"/>
      <c r="B426" s="139" t="s">
        <v>334</v>
      </c>
      <c r="C426" s="242">
        <f>SUM(C427:C430)</f>
        <v>10752956</v>
      </c>
      <c r="D426" s="242">
        <f>SUM(D427:D430)</f>
        <v>10852956</v>
      </c>
      <c r="E426" s="242"/>
      <c r="F426" s="242"/>
      <c r="G426" s="571"/>
      <c r="H426" s="181"/>
      <c r="I426" s="181"/>
      <c r="J426" s="14"/>
      <c r="K426" s="220"/>
      <c r="L426" s="220"/>
      <c r="M426" s="220"/>
      <c r="N426" s="220"/>
      <c r="O426" s="220"/>
      <c r="P426" s="220"/>
      <c r="Q426" s="220"/>
      <c r="R426" s="220"/>
      <c r="S426" s="220"/>
      <c r="T426" s="220"/>
      <c r="U426" s="220"/>
      <c r="V426" s="220"/>
      <c r="W426" s="220"/>
      <c r="X426" s="220"/>
      <c r="Y426" s="220"/>
      <c r="Z426" s="220"/>
      <c r="AA426" s="220"/>
      <c r="AB426" s="220"/>
      <c r="AC426" s="220"/>
      <c r="AD426" s="220"/>
      <c r="AE426" s="220"/>
      <c r="AF426" s="220"/>
      <c r="AG426" s="220"/>
      <c r="AH426" s="220"/>
      <c r="AI426" s="220"/>
      <c r="AJ426" s="220"/>
      <c r="AK426" s="220"/>
      <c r="AL426" s="220"/>
      <c r="AM426" s="220"/>
      <c r="AN426" s="220"/>
      <c r="AO426" s="220"/>
      <c r="AP426" s="220"/>
      <c r="AQ426" s="220"/>
      <c r="AR426" s="220"/>
      <c r="AS426" s="220"/>
      <c r="AT426" s="220"/>
      <c r="AU426" s="220"/>
      <c r="AV426" s="220"/>
      <c r="AW426" s="220"/>
      <c r="AX426" s="220"/>
      <c r="AY426" s="220"/>
      <c r="AZ426" s="220"/>
      <c r="BA426" s="220"/>
      <c r="BB426" s="220"/>
      <c r="BC426" s="220"/>
      <c r="BD426" s="220"/>
      <c r="BE426" s="220"/>
      <c r="BF426" s="220"/>
      <c r="BG426" s="220"/>
      <c r="BH426" s="220"/>
      <c r="BI426" s="220"/>
      <c r="BJ426" s="220"/>
      <c r="BK426" s="220"/>
      <c r="BL426" s="220"/>
      <c r="BM426" s="220"/>
      <c r="BN426" s="220"/>
      <c r="BO426" s="220"/>
      <c r="BP426" s="220"/>
      <c r="BQ426" s="220"/>
      <c r="BR426" s="220"/>
      <c r="BS426" s="220"/>
      <c r="BT426" s="220"/>
      <c r="BU426" s="220"/>
      <c r="BV426" s="220"/>
      <c r="BW426" s="220"/>
      <c r="BX426" s="220"/>
      <c r="BY426" s="220"/>
      <c r="BZ426" s="220"/>
      <c r="CA426" s="220"/>
      <c r="CB426" s="220"/>
      <c r="CC426" s="220"/>
      <c r="CD426" s="220"/>
      <c r="CE426" s="220"/>
      <c r="CF426" s="220"/>
      <c r="CG426" s="220"/>
      <c r="CH426" s="220"/>
      <c r="CI426" s="220"/>
      <c r="CJ426" s="220"/>
      <c r="CK426" s="220"/>
      <c r="CL426" s="220"/>
      <c r="CM426" s="220"/>
      <c r="CN426" s="220"/>
      <c r="CO426" s="220"/>
      <c r="CP426" s="220"/>
      <c r="CQ426" s="220"/>
      <c r="CR426" s="220"/>
      <c r="CS426" s="220"/>
      <c r="CT426" s="220"/>
      <c r="CU426" s="220"/>
      <c r="CV426" s="220"/>
      <c r="CW426" s="220"/>
      <c r="CX426" s="220"/>
      <c r="CY426" s="220"/>
      <c r="CZ426" s="220"/>
      <c r="DA426" s="220"/>
      <c r="DB426" s="220"/>
      <c r="DC426" s="220"/>
      <c r="DD426" s="220"/>
      <c r="DE426" s="220"/>
      <c r="DF426" s="220"/>
      <c r="DG426" s="220"/>
      <c r="DH426" s="220"/>
      <c r="DI426" s="220"/>
      <c r="DJ426" s="220"/>
      <c r="DK426" s="220"/>
      <c r="DL426" s="220"/>
      <c r="DM426" s="220"/>
      <c r="DN426" s="220"/>
      <c r="DO426" s="220"/>
      <c r="DP426" s="220"/>
      <c r="DQ426" s="220"/>
      <c r="DR426" s="220"/>
      <c r="DS426" s="220"/>
      <c r="DT426" s="220"/>
      <c r="DU426" s="220"/>
      <c r="DV426" s="220"/>
      <c r="DW426" s="220"/>
      <c r="DX426" s="220"/>
      <c r="DY426" s="220"/>
      <c r="DZ426" s="220"/>
      <c r="EA426" s="220"/>
      <c r="EB426" s="220"/>
      <c r="EC426" s="220"/>
      <c r="ED426" s="220"/>
      <c r="EE426" s="220"/>
      <c r="EF426" s="220"/>
      <c r="EG426" s="220"/>
      <c r="EH426" s="220"/>
      <c r="EI426" s="220"/>
      <c r="EJ426" s="220"/>
      <c r="EK426" s="220"/>
      <c r="EL426" s="220"/>
      <c r="EM426" s="220"/>
      <c r="EN426" s="220"/>
      <c r="EO426" s="220"/>
      <c r="EP426" s="220"/>
      <c r="EQ426" s="220"/>
      <c r="ER426" s="220"/>
      <c r="ES426" s="220"/>
      <c r="ET426" s="220"/>
      <c r="EU426" s="220"/>
      <c r="EV426" s="220"/>
      <c r="EW426" s="220"/>
      <c r="EX426" s="220"/>
      <c r="EY426" s="220"/>
      <c r="EZ426" s="220"/>
      <c r="FA426" s="220"/>
      <c r="FB426" s="220"/>
      <c r="FC426" s="220"/>
      <c r="FD426" s="220"/>
      <c r="FE426" s="220"/>
      <c r="FF426" s="220"/>
      <c r="FG426" s="220"/>
      <c r="FH426" s="220"/>
      <c r="FI426" s="220"/>
      <c r="FJ426" s="220"/>
      <c r="FK426" s="220"/>
      <c r="FL426" s="220"/>
      <c r="FM426" s="220"/>
      <c r="FN426" s="220"/>
      <c r="FO426" s="220"/>
      <c r="FP426" s="220"/>
      <c r="FQ426" s="220"/>
      <c r="FR426" s="220"/>
      <c r="FS426" s="220"/>
      <c r="FT426" s="220"/>
      <c r="FU426" s="220"/>
      <c r="FV426" s="220"/>
      <c r="FW426" s="220"/>
      <c r="FX426" s="220"/>
      <c r="FY426" s="220"/>
      <c r="FZ426" s="220"/>
      <c r="GA426" s="220"/>
      <c r="GB426" s="220"/>
      <c r="GC426" s="220"/>
      <c r="GD426" s="220"/>
      <c r="GE426" s="220"/>
      <c r="GF426" s="220"/>
      <c r="GG426" s="220"/>
      <c r="GH426" s="220"/>
      <c r="GI426" s="220"/>
      <c r="GJ426" s="220"/>
      <c r="GK426" s="220"/>
      <c r="GL426" s="220"/>
      <c r="GM426" s="220"/>
      <c r="GN426" s="220"/>
      <c r="GO426" s="220"/>
      <c r="GP426" s="220"/>
      <c r="GQ426" s="220"/>
      <c r="GR426" s="220"/>
      <c r="GS426" s="220"/>
      <c r="GT426" s="220"/>
      <c r="GU426" s="220"/>
      <c r="GV426" s="220"/>
      <c r="GW426" s="220"/>
      <c r="GX426" s="220"/>
      <c r="GY426" s="220"/>
      <c r="GZ426" s="220"/>
      <c r="HA426" s="220"/>
      <c r="HB426" s="220"/>
      <c r="HC426" s="220"/>
      <c r="HD426" s="220"/>
      <c r="HE426" s="220"/>
      <c r="HF426" s="220"/>
      <c r="HG426" s="220"/>
      <c r="HH426" s="220"/>
      <c r="HI426" s="220"/>
      <c r="HJ426" s="220"/>
      <c r="HK426" s="220"/>
      <c r="HL426" s="220"/>
      <c r="HM426" s="220"/>
      <c r="HN426" s="220"/>
      <c r="HO426" s="220"/>
      <c r="HP426" s="220"/>
      <c r="HQ426" s="220"/>
      <c r="HR426" s="220"/>
      <c r="HS426" s="220"/>
      <c r="HT426" s="220"/>
      <c r="HU426" s="220"/>
      <c r="HV426" s="220"/>
      <c r="HW426" s="220"/>
      <c r="HX426" s="220"/>
      <c r="HY426" s="220"/>
      <c r="HZ426" s="220"/>
      <c r="IA426" s="220"/>
      <c r="IB426" s="220"/>
      <c r="IC426" s="220"/>
      <c r="ID426" s="220"/>
      <c r="IE426" s="220"/>
      <c r="IF426" s="220"/>
      <c r="IG426" s="220"/>
      <c r="IH426" s="220"/>
      <c r="II426" s="220"/>
      <c r="IJ426" s="220"/>
      <c r="IK426" s="220"/>
      <c r="IL426" s="220"/>
      <c r="IM426" s="220"/>
      <c r="IN426" s="220"/>
      <c r="IO426" s="220"/>
      <c r="IP426" s="220"/>
      <c r="IQ426" s="220"/>
      <c r="IR426" s="220"/>
      <c r="IS426" s="220"/>
      <c r="IT426" s="220"/>
      <c r="IU426" s="220"/>
      <c r="IV426" s="220"/>
      <c r="IW426" s="220"/>
      <c r="IX426" s="220"/>
      <c r="IY426" s="220"/>
      <c r="IZ426" s="220"/>
      <c r="JA426" s="220"/>
      <c r="JB426" s="220"/>
      <c r="JC426" s="220"/>
      <c r="JD426" s="220"/>
      <c r="JE426" s="220"/>
      <c r="JF426" s="220"/>
      <c r="JG426" s="220"/>
      <c r="JH426" s="220"/>
      <c r="JI426" s="220"/>
      <c r="JJ426" s="220"/>
      <c r="JK426" s="220"/>
      <c r="JL426" s="220"/>
      <c r="JM426" s="220"/>
      <c r="JN426" s="220"/>
      <c r="JO426" s="220"/>
      <c r="JP426" s="220"/>
      <c r="JQ426" s="220"/>
      <c r="JR426" s="220"/>
      <c r="JS426" s="220"/>
      <c r="JT426" s="220"/>
      <c r="JU426" s="220"/>
      <c r="JV426" s="220"/>
      <c r="JW426" s="220"/>
      <c r="JX426" s="220"/>
      <c r="JY426" s="220"/>
      <c r="JZ426" s="220"/>
      <c r="KA426" s="220"/>
      <c r="KB426" s="220"/>
      <c r="KC426" s="220"/>
      <c r="KD426" s="220"/>
      <c r="KE426" s="220"/>
      <c r="KF426" s="220"/>
      <c r="KG426" s="220"/>
      <c r="KH426" s="220"/>
      <c r="KI426" s="220"/>
      <c r="KJ426" s="220"/>
      <c r="KK426" s="220"/>
      <c r="KL426" s="220"/>
      <c r="KM426" s="220"/>
      <c r="KN426" s="220"/>
      <c r="KO426" s="220"/>
      <c r="KP426" s="220"/>
      <c r="KQ426" s="220"/>
      <c r="KR426" s="220"/>
      <c r="KS426" s="220"/>
      <c r="KT426" s="220"/>
      <c r="KU426" s="220"/>
      <c r="KV426" s="220"/>
      <c r="KW426" s="220"/>
      <c r="KX426" s="220"/>
      <c r="KY426" s="220"/>
      <c r="KZ426" s="220"/>
      <c r="LA426" s="220"/>
      <c r="LB426" s="220"/>
      <c r="LC426" s="220"/>
      <c r="LD426" s="220"/>
      <c r="LE426" s="220"/>
      <c r="LF426" s="220"/>
      <c r="LG426" s="220"/>
      <c r="LH426" s="220"/>
      <c r="LI426" s="220"/>
      <c r="LJ426" s="220"/>
      <c r="LK426" s="220"/>
      <c r="LL426" s="220"/>
      <c r="LM426" s="220"/>
      <c r="LN426" s="220"/>
      <c r="LO426" s="220"/>
      <c r="LP426" s="220"/>
      <c r="LQ426" s="220"/>
      <c r="LR426" s="220"/>
      <c r="LS426" s="220"/>
      <c r="LT426" s="220"/>
      <c r="LU426" s="220"/>
      <c r="LV426" s="220"/>
      <c r="LW426" s="220"/>
      <c r="LX426" s="220"/>
      <c r="LY426" s="220"/>
      <c r="LZ426" s="220"/>
      <c r="MA426" s="220"/>
      <c r="MB426" s="220"/>
      <c r="MC426" s="220"/>
      <c r="MD426" s="220"/>
      <c r="ME426" s="220"/>
      <c r="MF426" s="220"/>
      <c r="MG426" s="220"/>
      <c r="MH426" s="220"/>
      <c r="MI426" s="220"/>
      <c r="MJ426" s="220"/>
      <c r="MK426" s="220"/>
      <c r="ML426" s="220"/>
      <c r="MM426" s="220"/>
      <c r="MN426" s="220"/>
      <c r="MO426" s="220"/>
      <c r="MP426" s="220"/>
      <c r="MQ426" s="220"/>
      <c r="MR426" s="220"/>
      <c r="MS426" s="220"/>
      <c r="MT426" s="220"/>
      <c r="MU426" s="220"/>
      <c r="MV426" s="220"/>
      <c r="MW426" s="220"/>
      <c r="MX426" s="220"/>
      <c r="MY426" s="220"/>
      <c r="MZ426" s="220"/>
      <c r="NA426" s="220"/>
      <c r="NB426" s="220"/>
      <c r="NC426" s="220"/>
      <c r="ND426" s="220"/>
      <c r="NE426" s="220"/>
      <c r="NF426" s="220"/>
      <c r="NG426" s="220"/>
      <c r="NH426" s="220"/>
      <c r="NI426" s="220"/>
      <c r="NJ426" s="220"/>
      <c r="NK426" s="220"/>
      <c r="NL426" s="220"/>
      <c r="NM426" s="220"/>
      <c r="NN426" s="220"/>
      <c r="NO426" s="220"/>
      <c r="NP426" s="220"/>
      <c r="NQ426" s="220"/>
      <c r="NR426" s="220"/>
      <c r="NS426" s="220"/>
      <c r="NT426" s="220"/>
      <c r="NU426" s="220"/>
      <c r="NV426" s="220"/>
      <c r="NW426" s="220"/>
      <c r="NX426" s="220"/>
      <c r="NY426" s="220"/>
      <c r="NZ426" s="220"/>
      <c r="OA426" s="220"/>
      <c r="OB426" s="220"/>
      <c r="OC426" s="220"/>
      <c r="OD426" s="220"/>
      <c r="OE426" s="220"/>
      <c r="OF426" s="220"/>
      <c r="OG426" s="220"/>
      <c r="OH426" s="220"/>
      <c r="OI426" s="220"/>
      <c r="OJ426" s="220"/>
      <c r="OK426" s="220"/>
      <c r="OL426" s="220"/>
      <c r="OM426" s="220"/>
      <c r="ON426" s="220"/>
      <c r="OO426" s="220"/>
      <c r="OP426" s="220"/>
      <c r="OQ426" s="220"/>
      <c r="OR426" s="220"/>
      <c r="OS426" s="220"/>
      <c r="OT426" s="220"/>
      <c r="OU426" s="220"/>
      <c r="OV426" s="220"/>
      <c r="OW426" s="220"/>
      <c r="OX426" s="220"/>
      <c r="OY426" s="220"/>
      <c r="OZ426" s="220"/>
      <c r="PA426" s="220"/>
      <c r="PB426" s="220"/>
      <c r="PC426" s="220"/>
      <c r="PD426" s="220"/>
      <c r="PE426" s="220"/>
      <c r="PF426" s="220"/>
      <c r="PG426" s="220"/>
      <c r="PH426" s="220"/>
      <c r="PI426" s="220"/>
      <c r="PJ426" s="220"/>
      <c r="PK426" s="220"/>
      <c r="PL426" s="220"/>
      <c r="PM426" s="220"/>
      <c r="PN426" s="220"/>
      <c r="PO426" s="220"/>
      <c r="PP426" s="220"/>
      <c r="PQ426" s="220"/>
      <c r="PR426" s="220"/>
      <c r="PS426" s="220"/>
      <c r="PT426" s="220"/>
      <c r="PU426" s="220"/>
      <c r="PV426" s="220"/>
      <c r="PW426" s="220"/>
      <c r="PX426" s="220"/>
      <c r="PY426" s="220"/>
      <c r="PZ426" s="220"/>
      <c r="QA426" s="220"/>
      <c r="QB426" s="220"/>
      <c r="QC426" s="220"/>
      <c r="QD426" s="220"/>
      <c r="QE426" s="220"/>
      <c r="QF426" s="220"/>
      <c r="QG426" s="220"/>
      <c r="QH426" s="220"/>
      <c r="QI426" s="220"/>
      <c r="QJ426" s="220"/>
      <c r="QK426" s="220"/>
      <c r="QL426" s="220"/>
      <c r="QM426" s="220"/>
      <c r="QN426" s="220"/>
      <c r="QO426" s="220"/>
      <c r="QP426" s="220"/>
      <c r="QQ426" s="220"/>
      <c r="QR426" s="220"/>
      <c r="QS426" s="220"/>
      <c r="QT426" s="220"/>
      <c r="QU426" s="220"/>
      <c r="QV426" s="220"/>
      <c r="QW426" s="220"/>
      <c r="QX426" s="220"/>
      <c r="QY426" s="220"/>
      <c r="QZ426" s="220"/>
      <c r="RA426" s="220"/>
      <c r="RB426" s="220"/>
      <c r="RC426" s="220"/>
      <c r="RD426" s="220"/>
      <c r="RE426" s="220"/>
      <c r="RF426" s="220"/>
      <c r="RG426" s="220"/>
      <c r="RH426" s="220"/>
      <c r="RI426" s="220"/>
      <c r="RJ426" s="220"/>
      <c r="RK426" s="220"/>
      <c r="RL426" s="220"/>
      <c r="RM426" s="220"/>
      <c r="RN426" s="220"/>
      <c r="RO426" s="220"/>
      <c r="RP426" s="220"/>
      <c r="RQ426" s="220"/>
      <c r="RR426" s="220"/>
      <c r="RS426" s="220"/>
      <c r="RT426" s="220"/>
      <c r="RU426" s="220"/>
      <c r="RV426" s="220"/>
      <c r="RW426" s="220"/>
      <c r="RX426" s="220"/>
      <c r="RY426" s="220"/>
      <c r="RZ426" s="220"/>
      <c r="SA426" s="220"/>
      <c r="SB426" s="220"/>
      <c r="SC426" s="220"/>
      <c r="SD426" s="220"/>
      <c r="SE426" s="220"/>
      <c r="SF426" s="220"/>
      <c r="SG426" s="220"/>
      <c r="SH426" s="220"/>
      <c r="SI426" s="220"/>
      <c r="SJ426" s="220"/>
      <c r="SK426" s="220"/>
      <c r="SL426" s="220"/>
      <c r="SM426" s="220"/>
      <c r="SN426" s="220"/>
      <c r="SO426" s="220"/>
      <c r="SP426" s="220"/>
      <c r="SQ426" s="220"/>
      <c r="SR426" s="220"/>
      <c r="SS426" s="220"/>
      <c r="ST426" s="220"/>
      <c r="SU426" s="220"/>
      <c r="SV426" s="220"/>
      <c r="SW426" s="220"/>
      <c r="SX426" s="220"/>
      <c r="SY426" s="220"/>
      <c r="SZ426" s="220"/>
      <c r="TA426" s="220"/>
      <c r="TB426" s="220"/>
      <c r="TC426" s="220"/>
      <c r="TD426" s="220"/>
      <c r="TE426" s="220"/>
      <c r="TF426" s="220"/>
      <c r="TG426" s="220"/>
      <c r="TH426" s="220"/>
      <c r="TI426" s="220"/>
      <c r="TJ426" s="220"/>
      <c r="TK426" s="220"/>
      <c r="TL426" s="220"/>
      <c r="TM426" s="220"/>
      <c r="TN426" s="220"/>
      <c r="TO426" s="220"/>
      <c r="TP426" s="220"/>
      <c r="TQ426" s="220"/>
      <c r="TR426" s="220"/>
      <c r="TS426" s="220"/>
      <c r="TT426" s="220"/>
      <c r="TU426" s="220"/>
      <c r="TV426" s="220"/>
      <c r="TW426" s="220"/>
      <c r="TX426" s="220"/>
      <c r="TY426" s="220"/>
      <c r="TZ426" s="220"/>
      <c r="UA426" s="220"/>
      <c r="UB426" s="220"/>
      <c r="UC426" s="220"/>
      <c r="UD426" s="220"/>
      <c r="UE426" s="220"/>
      <c r="UF426" s="220"/>
      <c r="UG426" s="220"/>
      <c r="UH426" s="220"/>
      <c r="UI426" s="220"/>
      <c r="UJ426" s="220"/>
      <c r="UK426" s="220"/>
      <c r="UL426" s="220"/>
      <c r="UM426" s="220"/>
      <c r="UN426" s="220"/>
      <c r="UO426" s="220"/>
      <c r="UP426" s="220"/>
      <c r="UQ426" s="220"/>
      <c r="UR426" s="220"/>
      <c r="US426" s="220"/>
      <c r="UT426" s="220"/>
      <c r="UU426" s="220"/>
      <c r="UV426" s="220"/>
      <c r="UW426" s="220"/>
      <c r="UX426" s="220"/>
      <c r="UY426" s="220"/>
      <c r="UZ426" s="220"/>
      <c r="VA426" s="220"/>
      <c r="VB426" s="220"/>
      <c r="VC426" s="220"/>
      <c r="VD426" s="220"/>
      <c r="VE426" s="220"/>
      <c r="VF426" s="220"/>
      <c r="VG426" s="220"/>
      <c r="VH426" s="220"/>
      <c r="VI426" s="220"/>
      <c r="VJ426" s="220"/>
      <c r="VK426" s="220"/>
      <c r="VL426" s="220"/>
      <c r="VM426" s="220"/>
      <c r="VN426" s="220"/>
      <c r="VO426" s="220"/>
      <c r="VP426" s="220"/>
      <c r="VQ426" s="220"/>
      <c r="VR426" s="220"/>
      <c r="VS426" s="220"/>
      <c r="VT426" s="220"/>
      <c r="VU426" s="220"/>
      <c r="VV426" s="220"/>
      <c r="VW426" s="220"/>
      <c r="VX426" s="220"/>
      <c r="VY426" s="220"/>
      <c r="VZ426" s="220"/>
      <c r="WA426" s="220"/>
      <c r="WB426" s="220"/>
      <c r="WC426" s="220"/>
      <c r="WD426" s="220"/>
      <c r="WE426" s="220"/>
      <c r="WF426" s="220"/>
      <c r="WG426" s="220"/>
      <c r="WH426" s="220"/>
      <c r="WI426" s="220"/>
      <c r="WJ426" s="220"/>
      <c r="WK426" s="220"/>
      <c r="WL426" s="220"/>
      <c r="WM426" s="220"/>
      <c r="WN426" s="220"/>
      <c r="WO426" s="220"/>
      <c r="WP426" s="220"/>
      <c r="WQ426" s="220"/>
      <c r="WR426" s="220"/>
      <c r="WS426" s="220"/>
      <c r="WT426" s="220"/>
      <c r="WU426" s="220"/>
      <c r="WV426" s="220"/>
      <c r="WW426" s="220"/>
      <c r="WX426" s="220"/>
      <c r="WY426" s="220"/>
      <c r="WZ426" s="220"/>
      <c r="XA426" s="220"/>
      <c r="XB426" s="220"/>
      <c r="XC426" s="220"/>
      <c r="XD426" s="220"/>
      <c r="XE426" s="220"/>
      <c r="XF426" s="220"/>
      <c r="XG426" s="220"/>
      <c r="XH426" s="220"/>
      <c r="XI426" s="220"/>
      <c r="XJ426" s="220"/>
      <c r="XK426" s="220"/>
      <c r="XL426" s="220"/>
      <c r="XM426" s="220"/>
      <c r="XN426" s="220"/>
      <c r="XO426" s="220"/>
      <c r="XP426" s="220"/>
      <c r="XQ426" s="220"/>
      <c r="XR426" s="220"/>
      <c r="XS426" s="220"/>
      <c r="XT426" s="220"/>
      <c r="XU426" s="220"/>
      <c r="XV426" s="220"/>
      <c r="XW426" s="220"/>
      <c r="XX426" s="220"/>
      <c r="XY426" s="220"/>
      <c r="XZ426" s="220"/>
      <c r="YA426" s="220"/>
      <c r="YB426" s="220"/>
      <c r="YC426" s="220"/>
      <c r="YD426" s="220"/>
      <c r="YE426" s="220"/>
      <c r="YF426" s="220"/>
      <c r="YG426" s="220"/>
      <c r="YH426" s="220"/>
      <c r="YI426" s="220"/>
      <c r="YJ426" s="220"/>
      <c r="YK426" s="220"/>
      <c r="YL426" s="220"/>
      <c r="YM426" s="220"/>
      <c r="YN426" s="220"/>
      <c r="YO426" s="220"/>
      <c r="YP426" s="220"/>
      <c r="YQ426" s="220"/>
      <c r="YR426" s="220"/>
      <c r="YS426" s="220"/>
      <c r="YT426" s="220"/>
      <c r="YU426" s="220"/>
      <c r="YV426" s="220"/>
      <c r="YW426" s="220"/>
      <c r="YX426" s="220"/>
      <c r="YY426" s="220"/>
      <c r="YZ426" s="220"/>
      <c r="ZA426" s="220"/>
      <c r="ZB426" s="220"/>
      <c r="ZC426" s="220"/>
      <c r="ZD426" s="220"/>
      <c r="ZE426" s="220"/>
      <c r="ZF426" s="220"/>
      <c r="ZG426" s="220"/>
      <c r="ZH426" s="220"/>
      <c r="ZI426" s="220"/>
      <c r="ZJ426" s="220"/>
      <c r="ZK426" s="220"/>
      <c r="ZL426" s="220"/>
      <c r="ZM426" s="220"/>
      <c r="ZN426" s="220"/>
      <c r="ZO426" s="220"/>
      <c r="ZP426" s="220"/>
      <c r="ZQ426" s="220"/>
      <c r="ZR426" s="220"/>
      <c r="ZS426" s="220"/>
      <c r="ZT426" s="220"/>
      <c r="ZU426" s="220"/>
      <c r="ZV426" s="220"/>
      <c r="ZW426" s="220"/>
      <c r="ZX426" s="220"/>
      <c r="ZY426" s="220"/>
      <c r="ZZ426" s="220"/>
      <c r="AAA426" s="220"/>
      <c r="AAB426" s="220"/>
      <c r="AAC426" s="220"/>
      <c r="AAD426" s="220"/>
      <c r="AAE426" s="220"/>
      <c r="AAF426" s="220"/>
      <c r="AAG426" s="220"/>
      <c r="AAH426" s="220"/>
      <c r="AAI426" s="220"/>
      <c r="AAJ426" s="220"/>
      <c r="AAK426" s="220"/>
      <c r="AAL426" s="220"/>
      <c r="AAM426" s="220"/>
      <c r="AAN426" s="220"/>
      <c r="AAO426" s="220"/>
      <c r="AAP426" s="220"/>
      <c r="AAQ426" s="220"/>
      <c r="AAR426" s="220"/>
      <c r="AAS426" s="220"/>
      <c r="AAT426" s="220"/>
      <c r="AAU426" s="220"/>
      <c r="AAV426" s="220"/>
      <c r="AAW426" s="220"/>
      <c r="AAX426" s="220"/>
      <c r="AAY426" s="220"/>
      <c r="AAZ426" s="220"/>
      <c r="ABA426" s="220"/>
      <c r="ABB426" s="220"/>
      <c r="ABC426" s="220"/>
      <c r="ABD426" s="220"/>
      <c r="ABE426" s="220"/>
      <c r="ABF426" s="220"/>
      <c r="ABG426" s="220"/>
    </row>
    <row r="427" spans="1:735" s="246" customFormat="1" ht="30" customHeight="1" x14ac:dyDescent="0.2">
      <c r="A427" s="248">
        <v>2141</v>
      </c>
      <c r="B427" s="175" t="s">
        <v>333</v>
      </c>
      <c r="C427" s="136">
        <v>1226000</v>
      </c>
      <c r="D427" s="136">
        <v>1226000</v>
      </c>
      <c r="E427" s="136"/>
      <c r="F427" s="136"/>
      <c r="G427" s="120"/>
      <c r="H427" s="120"/>
      <c r="I427" s="120"/>
      <c r="J427" s="6"/>
      <c r="K427" s="220"/>
      <c r="L427" s="220"/>
      <c r="M427" s="220"/>
      <c r="N427" s="220"/>
      <c r="O427" s="220"/>
      <c r="P427" s="220"/>
      <c r="Q427" s="220"/>
      <c r="R427" s="220"/>
      <c r="S427" s="220"/>
      <c r="T427" s="220"/>
      <c r="U427" s="220"/>
      <c r="V427" s="220"/>
      <c r="W427" s="220"/>
      <c r="X427" s="220"/>
      <c r="Y427" s="220"/>
      <c r="Z427" s="220"/>
      <c r="AA427" s="220"/>
      <c r="AB427" s="220"/>
      <c r="AC427" s="220"/>
      <c r="AD427" s="220"/>
      <c r="AE427" s="220"/>
      <c r="AF427" s="220"/>
      <c r="AG427" s="220"/>
      <c r="AH427" s="220"/>
      <c r="AI427" s="220"/>
      <c r="AJ427" s="220"/>
      <c r="AK427" s="220"/>
      <c r="AL427" s="220"/>
      <c r="AM427" s="220"/>
      <c r="AN427" s="220"/>
      <c r="AO427" s="220"/>
      <c r="AP427" s="220"/>
      <c r="AQ427" s="220"/>
      <c r="AR427" s="220"/>
      <c r="AS427" s="220"/>
      <c r="AT427" s="220"/>
      <c r="AU427" s="220"/>
      <c r="AV427" s="220"/>
      <c r="AW427" s="220"/>
      <c r="AX427" s="220"/>
      <c r="AY427" s="220"/>
      <c r="AZ427" s="220"/>
      <c r="BA427" s="220"/>
      <c r="BB427" s="220"/>
      <c r="BC427" s="220"/>
      <c r="BD427" s="220"/>
      <c r="BE427" s="220"/>
      <c r="BF427" s="220"/>
      <c r="BG427" s="220"/>
      <c r="BH427" s="220"/>
      <c r="BI427" s="220"/>
      <c r="BJ427" s="220"/>
      <c r="BK427" s="220"/>
      <c r="BL427" s="220"/>
      <c r="BM427" s="220"/>
      <c r="BN427" s="220"/>
      <c r="BO427" s="220"/>
      <c r="BP427" s="220"/>
      <c r="BQ427" s="220"/>
      <c r="BR427" s="220"/>
      <c r="BS427" s="220"/>
      <c r="BT427" s="220"/>
      <c r="BU427" s="220"/>
      <c r="BV427" s="220"/>
      <c r="BW427" s="220"/>
      <c r="BX427" s="220"/>
      <c r="BY427" s="220"/>
      <c r="BZ427" s="220"/>
      <c r="CA427" s="220"/>
      <c r="CB427" s="220"/>
      <c r="CC427" s="220"/>
      <c r="CD427" s="220"/>
      <c r="CE427" s="220"/>
      <c r="CF427" s="220"/>
      <c r="CG427" s="220"/>
      <c r="CH427" s="220"/>
      <c r="CI427" s="220"/>
      <c r="CJ427" s="220"/>
      <c r="CK427" s="220"/>
      <c r="CL427" s="220"/>
      <c r="CM427" s="220"/>
      <c r="CN427" s="220"/>
      <c r="CO427" s="220"/>
      <c r="CP427" s="220"/>
      <c r="CQ427" s="220"/>
      <c r="CR427" s="220"/>
      <c r="CS427" s="220"/>
      <c r="CT427" s="220"/>
      <c r="CU427" s="220"/>
      <c r="CV427" s="220"/>
      <c r="CW427" s="220"/>
      <c r="CX427" s="220"/>
      <c r="CY427" s="220"/>
      <c r="CZ427" s="220"/>
      <c r="DA427" s="220"/>
      <c r="DB427" s="220"/>
      <c r="DC427" s="220"/>
      <c r="DD427" s="220"/>
      <c r="DE427" s="220"/>
      <c r="DF427" s="220"/>
      <c r="DG427" s="220"/>
      <c r="DH427" s="220"/>
      <c r="DI427" s="220"/>
      <c r="DJ427" s="220"/>
      <c r="DK427" s="220"/>
      <c r="DL427" s="220"/>
      <c r="DM427" s="220"/>
      <c r="DN427" s="220"/>
      <c r="DO427" s="220"/>
      <c r="DP427" s="220"/>
      <c r="DQ427" s="220"/>
      <c r="DR427" s="220"/>
      <c r="DS427" s="220"/>
      <c r="DT427" s="220"/>
      <c r="DU427" s="220"/>
      <c r="DV427" s="220"/>
      <c r="DW427" s="220"/>
      <c r="DX427" s="220"/>
      <c r="DY427" s="220"/>
      <c r="DZ427" s="220"/>
      <c r="EA427" s="220"/>
      <c r="EB427" s="220"/>
      <c r="EC427" s="220"/>
      <c r="ED427" s="220"/>
      <c r="EE427" s="220"/>
      <c r="EF427" s="220"/>
      <c r="EG427" s="220"/>
      <c r="EH427" s="220"/>
      <c r="EI427" s="220"/>
      <c r="EJ427" s="220"/>
      <c r="EK427" s="220"/>
      <c r="EL427" s="220"/>
      <c r="EM427" s="220"/>
      <c r="EN427" s="220"/>
      <c r="EO427" s="220"/>
      <c r="EP427" s="220"/>
      <c r="EQ427" s="220"/>
      <c r="ER427" s="220"/>
      <c r="ES427" s="220"/>
      <c r="ET427" s="220"/>
      <c r="EU427" s="220"/>
      <c r="EV427" s="220"/>
      <c r="EW427" s="220"/>
      <c r="EX427" s="220"/>
      <c r="EY427" s="220"/>
      <c r="EZ427" s="220"/>
      <c r="FA427" s="220"/>
      <c r="FB427" s="220"/>
      <c r="FC427" s="220"/>
      <c r="FD427" s="220"/>
      <c r="FE427" s="220"/>
      <c r="FF427" s="220"/>
      <c r="FG427" s="220"/>
      <c r="FH427" s="220"/>
      <c r="FI427" s="220"/>
      <c r="FJ427" s="220"/>
      <c r="FK427" s="220"/>
      <c r="FL427" s="220"/>
      <c r="FM427" s="220"/>
      <c r="FN427" s="220"/>
      <c r="FO427" s="220"/>
      <c r="FP427" s="220"/>
      <c r="FQ427" s="220"/>
      <c r="FR427" s="220"/>
      <c r="FS427" s="220"/>
      <c r="FT427" s="220"/>
      <c r="FU427" s="220"/>
      <c r="FV427" s="220"/>
      <c r="FW427" s="220"/>
      <c r="FX427" s="220"/>
      <c r="FY427" s="220"/>
      <c r="FZ427" s="220"/>
      <c r="GA427" s="220"/>
      <c r="GB427" s="220"/>
      <c r="GC427" s="220"/>
      <c r="GD427" s="220"/>
      <c r="GE427" s="220"/>
      <c r="GF427" s="220"/>
      <c r="GG427" s="220"/>
      <c r="GH427" s="220"/>
      <c r="GI427" s="220"/>
      <c r="GJ427" s="220"/>
      <c r="GK427" s="220"/>
      <c r="GL427" s="220"/>
      <c r="GM427" s="220"/>
      <c r="GN427" s="220"/>
      <c r="GO427" s="220"/>
      <c r="GP427" s="220"/>
      <c r="GQ427" s="220"/>
      <c r="GR427" s="220"/>
      <c r="GS427" s="220"/>
      <c r="GT427" s="220"/>
      <c r="GU427" s="220"/>
      <c r="GV427" s="220"/>
      <c r="GW427" s="220"/>
      <c r="GX427" s="220"/>
      <c r="GY427" s="220"/>
      <c r="GZ427" s="220"/>
      <c r="HA427" s="220"/>
      <c r="HB427" s="220"/>
      <c r="HC427" s="220"/>
      <c r="HD427" s="220"/>
      <c r="HE427" s="220"/>
      <c r="HF427" s="220"/>
      <c r="HG427" s="220"/>
      <c r="HH427" s="220"/>
      <c r="HI427" s="220"/>
      <c r="HJ427" s="220"/>
      <c r="HK427" s="220"/>
      <c r="HL427" s="220"/>
      <c r="HM427" s="220"/>
      <c r="HN427" s="220"/>
      <c r="HO427" s="220"/>
      <c r="HP427" s="220"/>
      <c r="HQ427" s="220"/>
      <c r="HR427" s="220"/>
      <c r="HS427" s="220"/>
      <c r="HT427" s="220"/>
      <c r="HU427" s="220"/>
      <c r="HV427" s="220"/>
      <c r="HW427" s="220"/>
      <c r="HX427" s="220"/>
      <c r="HY427" s="220"/>
      <c r="HZ427" s="220"/>
      <c r="IA427" s="220"/>
      <c r="IB427" s="220"/>
      <c r="IC427" s="220"/>
      <c r="ID427" s="220"/>
      <c r="IE427" s="220"/>
      <c r="IF427" s="220"/>
      <c r="IG427" s="220"/>
      <c r="IH427" s="220"/>
      <c r="II427" s="220"/>
      <c r="IJ427" s="220"/>
      <c r="IK427" s="220"/>
      <c r="IL427" s="220"/>
      <c r="IM427" s="220"/>
      <c r="IN427" s="220"/>
      <c r="IO427" s="220"/>
      <c r="IP427" s="220"/>
      <c r="IQ427" s="220"/>
      <c r="IR427" s="220"/>
      <c r="IS427" s="220"/>
      <c r="IT427" s="220"/>
      <c r="IU427" s="220"/>
      <c r="IV427" s="220"/>
      <c r="IW427" s="220"/>
      <c r="IX427" s="220"/>
      <c r="IY427" s="220"/>
      <c r="IZ427" s="220"/>
      <c r="JA427" s="220"/>
      <c r="JB427" s="220"/>
      <c r="JC427" s="220"/>
      <c r="JD427" s="220"/>
      <c r="JE427" s="220"/>
      <c r="JF427" s="220"/>
      <c r="JG427" s="220"/>
      <c r="JH427" s="220"/>
      <c r="JI427" s="220"/>
      <c r="JJ427" s="220"/>
      <c r="JK427" s="220"/>
      <c r="JL427" s="220"/>
      <c r="JM427" s="220"/>
      <c r="JN427" s="220"/>
      <c r="JO427" s="220"/>
      <c r="JP427" s="220"/>
      <c r="JQ427" s="220"/>
      <c r="JR427" s="220"/>
      <c r="JS427" s="220"/>
      <c r="JT427" s="220"/>
      <c r="JU427" s="220"/>
      <c r="JV427" s="220"/>
      <c r="JW427" s="220"/>
      <c r="JX427" s="220"/>
      <c r="JY427" s="220"/>
      <c r="JZ427" s="220"/>
      <c r="KA427" s="220"/>
      <c r="KB427" s="220"/>
      <c r="KC427" s="220"/>
      <c r="KD427" s="220"/>
      <c r="KE427" s="220"/>
      <c r="KF427" s="220"/>
      <c r="KG427" s="220"/>
      <c r="KH427" s="220"/>
      <c r="KI427" s="220"/>
      <c r="KJ427" s="220"/>
      <c r="KK427" s="220"/>
      <c r="KL427" s="220"/>
      <c r="KM427" s="220"/>
      <c r="KN427" s="220"/>
      <c r="KO427" s="220"/>
      <c r="KP427" s="220"/>
      <c r="KQ427" s="220"/>
      <c r="KR427" s="220"/>
      <c r="KS427" s="220"/>
      <c r="KT427" s="220"/>
      <c r="KU427" s="220"/>
      <c r="KV427" s="220"/>
      <c r="KW427" s="220"/>
      <c r="KX427" s="220"/>
      <c r="KY427" s="220"/>
      <c r="KZ427" s="220"/>
      <c r="LA427" s="220"/>
      <c r="LB427" s="220"/>
      <c r="LC427" s="220"/>
      <c r="LD427" s="220"/>
      <c r="LE427" s="220"/>
      <c r="LF427" s="220"/>
      <c r="LG427" s="220"/>
      <c r="LH427" s="220"/>
      <c r="LI427" s="220"/>
      <c r="LJ427" s="220"/>
      <c r="LK427" s="220"/>
      <c r="LL427" s="220"/>
      <c r="LM427" s="220"/>
      <c r="LN427" s="220"/>
      <c r="LO427" s="220"/>
      <c r="LP427" s="220"/>
      <c r="LQ427" s="220"/>
      <c r="LR427" s="220"/>
      <c r="LS427" s="220"/>
      <c r="LT427" s="220"/>
      <c r="LU427" s="220"/>
      <c r="LV427" s="220"/>
      <c r="LW427" s="220"/>
      <c r="LX427" s="220"/>
      <c r="LY427" s="220"/>
      <c r="LZ427" s="220"/>
      <c r="MA427" s="220"/>
      <c r="MB427" s="220"/>
      <c r="MC427" s="220"/>
      <c r="MD427" s="220"/>
      <c r="ME427" s="220"/>
      <c r="MF427" s="220"/>
      <c r="MG427" s="220"/>
      <c r="MH427" s="220"/>
      <c r="MI427" s="220"/>
      <c r="MJ427" s="220"/>
      <c r="MK427" s="220"/>
      <c r="ML427" s="220"/>
      <c r="MM427" s="220"/>
      <c r="MN427" s="220"/>
      <c r="MO427" s="220"/>
      <c r="MP427" s="220"/>
      <c r="MQ427" s="220"/>
      <c r="MR427" s="220"/>
      <c r="MS427" s="220"/>
      <c r="MT427" s="220"/>
      <c r="MU427" s="220"/>
      <c r="MV427" s="220"/>
      <c r="MW427" s="220"/>
      <c r="MX427" s="220"/>
      <c r="MY427" s="220"/>
      <c r="MZ427" s="220"/>
      <c r="NA427" s="220"/>
      <c r="NB427" s="220"/>
      <c r="NC427" s="220"/>
      <c r="ND427" s="220"/>
      <c r="NE427" s="220"/>
      <c r="NF427" s="220"/>
      <c r="NG427" s="220"/>
      <c r="NH427" s="220"/>
      <c r="NI427" s="220"/>
      <c r="NJ427" s="220"/>
      <c r="NK427" s="220"/>
      <c r="NL427" s="220"/>
      <c r="NM427" s="220"/>
      <c r="NN427" s="220"/>
      <c r="NO427" s="220"/>
      <c r="NP427" s="220"/>
      <c r="NQ427" s="220"/>
      <c r="NR427" s="220"/>
      <c r="NS427" s="220"/>
      <c r="NT427" s="220"/>
      <c r="NU427" s="220"/>
      <c r="NV427" s="220"/>
      <c r="NW427" s="220"/>
      <c r="NX427" s="220"/>
      <c r="NY427" s="220"/>
      <c r="NZ427" s="220"/>
      <c r="OA427" s="220"/>
      <c r="OB427" s="220"/>
      <c r="OC427" s="220"/>
      <c r="OD427" s="220"/>
      <c r="OE427" s="220"/>
      <c r="OF427" s="220"/>
      <c r="OG427" s="220"/>
      <c r="OH427" s="220"/>
      <c r="OI427" s="220"/>
      <c r="OJ427" s="220"/>
      <c r="OK427" s="220"/>
      <c r="OL427" s="220"/>
      <c r="OM427" s="220"/>
      <c r="ON427" s="220"/>
      <c r="OO427" s="220"/>
      <c r="OP427" s="220"/>
      <c r="OQ427" s="220"/>
      <c r="OR427" s="220"/>
      <c r="OS427" s="220"/>
      <c r="OT427" s="220"/>
      <c r="OU427" s="220"/>
      <c r="OV427" s="220"/>
      <c r="OW427" s="220"/>
      <c r="OX427" s="220"/>
      <c r="OY427" s="220"/>
      <c r="OZ427" s="220"/>
      <c r="PA427" s="220"/>
      <c r="PB427" s="220"/>
      <c r="PC427" s="220"/>
      <c r="PD427" s="220"/>
      <c r="PE427" s="220"/>
      <c r="PF427" s="220"/>
      <c r="PG427" s="220"/>
      <c r="PH427" s="220"/>
      <c r="PI427" s="220"/>
      <c r="PJ427" s="220"/>
      <c r="PK427" s="220"/>
      <c r="PL427" s="220"/>
      <c r="PM427" s="220"/>
      <c r="PN427" s="220"/>
      <c r="PO427" s="220"/>
      <c r="PP427" s="220"/>
      <c r="PQ427" s="220"/>
      <c r="PR427" s="220"/>
      <c r="PS427" s="220"/>
      <c r="PT427" s="220"/>
      <c r="PU427" s="220"/>
      <c r="PV427" s="220"/>
      <c r="PW427" s="220"/>
      <c r="PX427" s="220"/>
      <c r="PY427" s="220"/>
      <c r="PZ427" s="220"/>
      <c r="QA427" s="220"/>
      <c r="QB427" s="220"/>
      <c r="QC427" s="220"/>
      <c r="QD427" s="220"/>
      <c r="QE427" s="220"/>
      <c r="QF427" s="220"/>
      <c r="QG427" s="220"/>
      <c r="QH427" s="220"/>
      <c r="QI427" s="220"/>
      <c r="QJ427" s="220"/>
      <c r="QK427" s="220"/>
      <c r="QL427" s="220"/>
      <c r="QM427" s="220"/>
      <c r="QN427" s="220"/>
      <c r="QO427" s="220"/>
      <c r="QP427" s="220"/>
      <c r="QQ427" s="220"/>
      <c r="QR427" s="220"/>
      <c r="QS427" s="220"/>
      <c r="QT427" s="220"/>
      <c r="QU427" s="220"/>
      <c r="QV427" s="220"/>
      <c r="QW427" s="220"/>
      <c r="QX427" s="220"/>
      <c r="QY427" s="220"/>
      <c r="QZ427" s="220"/>
      <c r="RA427" s="220"/>
      <c r="RB427" s="220"/>
      <c r="RC427" s="220"/>
      <c r="RD427" s="220"/>
      <c r="RE427" s="220"/>
      <c r="RF427" s="220"/>
      <c r="RG427" s="220"/>
      <c r="RH427" s="220"/>
      <c r="RI427" s="220"/>
      <c r="RJ427" s="220"/>
      <c r="RK427" s="220"/>
      <c r="RL427" s="220"/>
      <c r="RM427" s="220"/>
      <c r="RN427" s="220"/>
      <c r="RO427" s="220"/>
      <c r="RP427" s="220"/>
      <c r="RQ427" s="220"/>
      <c r="RR427" s="220"/>
      <c r="RS427" s="220"/>
      <c r="RT427" s="220"/>
      <c r="RU427" s="220"/>
      <c r="RV427" s="220"/>
      <c r="RW427" s="220"/>
      <c r="RX427" s="220"/>
      <c r="RY427" s="220"/>
      <c r="RZ427" s="220"/>
      <c r="SA427" s="220"/>
      <c r="SB427" s="220"/>
      <c r="SC427" s="220"/>
      <c r="SD427" s="220"/>
      <c r="SE427" s="220"/>
      <c r="SF427" s="220"/>
      <c r="SG427" s="220"/>
      <c r="SH427" s="220"/>
      <c r="SI427" s="220"/>
      <c r="SJ427" s="220"/>
      <c r="SK427" s="220"/>
      <c r="SL427" s="220"/>
      <c r="SM427" s="220"/>
      <c r="SN427" s="220"/>
      <c r="SO427" s="220"/>
      <c r="SP427" s="220"/>
      <c r="SQ427" s="220"/>
      <c r="SR427" s="220"/>
      <c r="SS427" s="220"/>
      <c r="ST427" s="220"/>
      <c r="SU427" s="220"/>
      <c r="SV427" s="220"/>
      <c r="SW427" s="220"/>
      <c r="SX427" s="220"/>
      <c r="SY427" s="220"/>
      <c r="SZ427" s="220"/>
      <c r="TA427" s="220"/>
      <c r="TB427" s="220"/>
      <c r="TC427" s="220"/>
      <c r="TD427" s="220"/>
      <c r="TE427" s="220"/>
      <c r="TF427" s="220"/>
      <c r="TG427" s="220"/>
      <c r="TH427" s="220"/>
      <c r="TI427" s="220"/>
      <c r="TJ427" s="220"/>
      <c r="TK427" s="220"/>
      <c r="TL427" s="220"/>
      <c r="TM427" s="220"/>
      <c r="TN427" s="220"/>
      <c r="TO427" s="220"/>
      <c r="TP427" s="220"/>
      <c r="TQ427" s="220"/>
      <c r="TR427" s="220"/>
      <c r="TS427" s="220"/>
      <c r="TT427" s="220"/>
      <c r="TU427" s="220"/>
      <c r="TV427" s="220"/>
      <c r="TW427" s="220"/>
      <c r="TX427" s="220"/>
      <c r="TY427" s="220"/>
      <c r="TZ427" s="220"/>
      <c r="UA427" s="220"/>
      <c r="UB427" s="220"/>
      <c r="UC427" s="220"/>
      <c r="UD427" s="220"/>
      <c r="UE427" s="220"/>
      <c r="UF427" s="220"/>
      <c r="UG427" s="220"/>
      <c r="UH427" s="220"/>
      <c r="UI427" s="220"/>
      <c r="UJ427" s="220"/>
      <c r="UK427" s="220"/>
      <c r="UL427" s="220"/>
      <c r="UM427" s="220"/>
      <c r="UN427" s="220"/>
      <c r="UO427" s="220"/>
      <c r="UP427" s="220"/>
      <c r="UQ427" s="220"/>
      <c r="UR427" s="220"/>
      <c r="US427" s="220"/>
      <c r="UT427" s="220"/>
      <c r="UU427" s="220"/>
      <c r="UV427" s="220"/>
      <c r="UW427" s="220"/>
      <c r="UX427" s="220"/>
      <c r="UY427" s="220"/>
      <c r="UZ427" s="220"/>
      <c r="VA427" s="220"/>
      <c r="VB427" s="220"/>
      <c r="VC427" s="220"/>
      <c r="VD427" s="220"/>
      <c r="VE427" s="220"/>
      <c r="VF427" s="220"/>
      <c r="VG427" s="220"/>
      <c r="VH427" s="220"/>
      <c r="VI427" s="220"/>
      <c r="VJ427" s="220"/>
      <c r="VK427" s="220"/>
      <c r="VL427" s="220"/>
      <c r="VM427" s="220"/>
      <c r="VN427" s="220"/>
      <c r="VO427" s="220"/>
      <c r="VP427" s="220"/>
      <c r="VQ427" s="220"/>
      <c r="VR427" s="220"/>
      <c r="VS427" s="220"/>
      <c r="VT427" s="220"/>
      <c r="VU427" s="220"/>
      <c r="VV427" s="220"/>
      <c r="VW427" s="220"/>
      <c r="VX427" s="220"/>
      <c r="VY427" s="220"/>
      <c r="VZ427" s="220"/>
      <c r="WA427" s="220"/>
      <c r="WB427" s="220"/>
      <c r="WC427" s="220"/>
      <c r="WD427" s="220"/>
      <c r="WE427" s="220"/>
      <c r="WF427" s="220"/>
      <c r="WG427" s="220"/>
      <c r="WH427" s="220"/>
      <c r="WI427" s="220"/>
      <c r="WJ427" s="220"/>
      <c r="WK427" s="220"/>
      <c r="WL427" s="220"/>
      <c r="WM427" s="220"/>
      <c r="WN427" s="220"/>
      <c r="WO427" s="220"/>
      <c r="WP427" s="220"/>
      <c r="WQ427" s="220"/>
      <c r="WR427" s="220"/>
      <c r="WS427" s="220"/>
      <c r="WT427" s="220"/>
      <c r="WU427" s="220"/>
      <c r="WV427" s="220"/>
      <c r="WW427" s="220"/>
      <c r="WX427" s="220"/>
      <c r="WY427" s="220"/>
      <c r="WZ427" s="220"/>
      <c r="XA427" s="220"/>
      <c r="XB427" s="220"/>
      <c r="XC427" s="220"/>
      <c r="XD427" s="220"/>
      <c r="XE427" s="220"/>
      <c r="XF427" s="220"/>
      <c r="XG427" s="220"/>
      <c r="XH427" s="220"/>
      <c r="XI427" s="220"/>
      <c r="XJ427" s="220"/>
      <c r="XK427" s="220"/>
      <c r="XL427" s="220"/>
      <c r="XM427" s="220"/>
      <c r="XN427" s="220"/>
      <c r="XO427" s="220"/>
      <c r="XP427" s="220"/>
      <c r="XQ427" s="220"/>
      <c r="XR427" s="220"/>
      <c r="XS427" s="220"/>
      <c r="XT427" s="220"/>
      <c r="XU427" s="220"/>
      <c r="XV427" s="220"/>
      <c r="XW427" s="220"/>
      <c r="XX427" s="220"/>
      <c r="XY427" s="220"/>
      <c r="XZ427" s="220"/>
      <c r="YA427" s="220"/>
      <c r="YB427" s="220"/>
      <c r="YC427" s="220"/>
      <c r="YD427" s="220"/>
      <c r="YE427" s="220"/>
      <c r="YF427" s="220"/>
      <c r="YG427" s="220"/>
      <c r="YH427" s="220"/>
      <c r="YI427" s="220"/>
      <c r="YJ427" s="220"/>
      <c r="YK427" s="220"/>
      <c r="YL427" s="220"/>
      <c r="YM427" s="220"/>
      <c r="YN427" s="220"/>
      <c r="YO427" s="220"/>
      <c r="YP427" s="220"/>
      <c r="YQ427" s="220"/>
      <c r="YR427" s="220"/>
      <c r="YS427" s="220"/>
      <c r="YT427" s="220"/>
      <c r="YU427" s="220"/>
      <c r="YV427" s="220"/>
      <c r="YW427" s="220"/>
      <c r="YX427" s="220"/>
      <c r="YY427" s="220"/>
      <c r="YZ427" s="220"/>
      <c r="ZA427" s="220"/>
      <c r="ZB427" s="220"/>
      <c r="ZC427" s="220"/>
      <c r="ZD427" s="220"/>
      <c r="ZE427" s="220"/>
      <c r="ZF427" s="220"/>
      <c r="ZG427" s="220"/>
      <c r="ZH427" s="220"/>
      <c r="ZI427" s="220"/>
      <c r="ZJ427" s="220"/>
      <c r="ZK427" s="220"/>
      <c r="ZL427" s="220"/>
      <c r="ZM427" s="220"/>
      <c r="ZN427" s="220"/>
      <c r="ZO427" s="220"/>
      <c r="ZP427" s="220"/>
      <c r="ZQ427" s="220"/>
      <c r="ZR427" s="220"/>
      <c r="ZS427" s="220"/>
      <c r="ZT427" s="220"/>
      <c r="ZU427" s="220"/>
      <c r="ZV427" s="220"/>
      <c r="ZW427" s="220"/>
      <c r="ZX427" s="220"/>
      <c r="ZY427" s="220"/>
      <c r="ZZ427" s="220"/>
      <c r="AAA427" s="220"/>
      <c r="AAB427" s="220"/>
      <c r="AAC427" s="220"/>
      <c r="AAD427" s="220"/>
      <c r="AAE427" s="220"/>
      <c r="AAF427" s="220"/>
      <c r="AAG427" s="220"/>
      <c r="AAH427" s="220"/>
      <c r="AAI427" s="220"/>
      <c r="AAJ427" s="220"/>
      <c r="AAK427" s="220"/>
      <c r="AAL427" s="220"/>
      <c r="AAM427" s="220"/>
      <c r="AAN427" s="220"/>
      <c r="AAO427" s="220"/>
      <c r="AAP427" s="220"/>
      <c r="AAQ427" s="220"/>
      <c r="AAR427" s="220"/>
      <c r="AAS427" s="220"/>
      <c r="AAT427" s="220"/>
      <c r="AAU427" s="220"/>
      <c r="AAV427" s="220"/>
      <c r="AAW427" s="220"/>
      <c r="AAX427" s="220"/>
      <c r="AAY427" s="220"/>
      <c r="AAZ427" s="220"/>
      <c r="ABA427" s="220"/>
      <c r="ABB427" s="220"/>
      <c r="ABC427" s="220"/>
      <c r="ABD427" s="220"/>
      <c r="ABE427" s="220"/>
      <c r="ABF427" s="220"/>
      <c r="ABG427" s="220"/>
    </row>
    <row r="428" spans="1:735" s="246" customFormat="1" ht="60.75" x14ac:dyDescent="0.2">
      <c r="A428" s="180">
        <v>2143</v>
      </c>
      <c r="B428" s="247" t="s">
        <v>332</v>
      </c>
      <c r="C428" s="136">
        <v>8971956</v>
      </c>
      <c r="D428" s="136">
        <f>8971956+100000</f>
        <v>9071956</v>
      </c>
      <c r="E428" s="497"/>
      <c r="F428" s="497"/>
      <c r="G428" s="120"/>
      <c r="H428" s="120"/>
      <c r="I428" s="120"/>
      <c r="J428" s="6"/>
      <c r="K428" s="220"/>
      <c r="L428" s="220"/>
      <c r="M428" s="220"/>
      <c r="N428" s="220"/>
      <c r="O428" s="220"/>
      <c r="P428" s="220"/>
      <c r="Q428" s="220"/>
      <c r="R428" s="220"/>
      <c r="S428" s="220"/>
      <c r="T428" s="220"/>
      <c r="U428" s="220"/>
      <c r="V428" s="220"/>
      <c r="W428" s="220"/>
      <c r="X428" s="220"/>
      <c r="Y428" s="220"/>
      <c r="Z428" s="220"/>
      <c r="AA428" s="220"/>
      <c r="AB428" s="220"/>
      <c r="AC428" s="220"/>
      <c r="AD428" s="220"/>
      <c r="AE428" s="220"/>
      <c r="AF428" s="220"/>
      <c r="AG428" s="220"/>
      <c r="AH428" s="220"/>
      <c r="AI428" s="220"/>
      <c r="AJ428" s="220"/>
      <c r="AK428" s="220"/>
      <c r="AL428" s="220"/>
      <c r="AM428" s="220"/>
      <c r="AN428" s="220"/>
      <c r="AO428" s="220"/>
      <c r="AP428" s="220"/>
      <c r="AQ428" s="220"/>
      <c r="AR428" s="220"/>
      <c r="AS428" s="220"/>
      <c r="AT428" s="220"/>
      <c r="AU428" s="220"/>
      <c r="AV428" s="220"/>
      <c r="AW428" s="220"/>
      <c r="AX428" s="220"/>
      <c r="AY428" s="220"/>
      <c r="AZ428" s="220"/>
      <c r="BA428" s="220"/>
      <c r="BB428" s="220"/>
      <c r="BC428" s="220"/>
      <c r="BD428" s="220"/>
      <c r="BE428" s="220"/>
      <c r="BF428" s="220"/>
      <c r="BG428" s="220"/>
      <c r="BH428" s="220"/>
      <c r="BI428" s="220"/>
      <c r="BJ428" s="220"/>
      <c r="BK428" s="220"/>
      <c r="BL428" s="220"/>
      <c r="BM428" s="220"/>
      <c r="BN428" s="220"/>
      <c r="BO428" s="220"/>
      <c r="BP428" s="220"/>
      <c r="BQ428" s="220"/>
      <c r="BR428" s="220"/>
      <c r="BS428" s="220"/>
      <c r="BT428" s="220"/>
      <c r="BU428" s="220"/>
      <c r="BV428" s="220"/>
      <c r="BW428" s="220"/>
      <c r="BX428" s="220"/>
      <c r="BY428" s="220"/>
      <c r="BZ428" s="220"/>
      <c r="CA428" s="220"/>
      <c r="CB428" s="220"/>
      <c r="CC428" s="220"/>
      <c r="CD428" s="220"/>
      <c r="CE428" s="220"/>
      <c r="CF428" s="220"/>
      <c r="CG428" s="220"/>
      <c r="CH428" s="220"/>
      <c r="CI428" s="220"/>
      <c r="CJ428" s="220"/>
      <c r="CK428" s="220"/>
      <c r="CL428" s="220"/>
      <c r="CM428" s="220"/>
      <c r="CN428" s="220"/>
      <c r="CO428" s="220"/>
      <c r="CP428" s="220"/>
      <c r="CQ428" s="220"/>
      <c r="CR428" s="220"/>
      <c r="CS428" s="220"/>
      <c r="CT428" s="220"/>
      <c r="CU428" s="220"/>
      <c r="CV428" s="220"/>
      <c r="CW428" s="220"/>
      <c r="CX428" s="220"/>
      <c r="CY428" s="220"/>
      <c r="CZ428" s="220"/>
      <c r="DA428" s="220"/>
      <c r="DB428" s="220"/>
      <c r="DC428" s="220"/>
      <c r="DD428" s="220"/>
      <c r="DE428" s="220"/>
      <c r="DF428" s="220"/>
      <c r="DG428" s="220"/>
      <c r="DH428" s="220"/>
      <c r="DI428" s="220"/>
      <c r="DJ428" s="220"/>
      <c r="DK428" s="220"/>
      <c r="DL428" s="220"/>
      <c r="DM428" s="220"/>
      <c r="DN428" s="220"/>
      <c r="DO428" s="220"/>
      <c r="DP428" s="220"/>
      <c r="DQ428" s="220"/>
      <c r="DR428" s="220"/>
      <c r="DS428" s="220"/>
      <c r="DT428" s="220"/>
      <c r="DU428" s="220"/>
      <c r="DV428" s="220"/>
      <c r="DW428" s="220"/>
      <c r="DX428" s="220"/>
      <c r="DY428" s="220"/>
      <c r="DZ428" s="220"/>
      <c r="EA428" s="220"/>
      <c r="EB428" s="220"/>
      <c r="EC428" s="220"/>
      <c r="ED428" s="220"/>
      <c r="EE428" s="220"/>
      <c r="EF428" s="220"/>
      <c r="EG428" s="220"/>
      <c r="EH428" s="220"/>
      <c r="EI428" s="220"/>
      <c r="EJ428" s="220"/>
      <c r="EK428" s="220"/>
      <c r="EL428" s="220"/>
      <c r="EM428" s="220"/>
      <c r="EN428" s="220"/>
      <c r="EO428" s="220"/>
      <c r="EP428" s="220"/>
      <c r="EQ428" s="220"/>
      <c r="ER428" s="220"/>
      <c r="ES428" s="220"/>
      <c r="ET428" s="220"/>
      <c r="EU428" s="220"/>
      <c r="EV428" s="220"/>
      <c r="EW428" s="220"/>
      <c r="EX428" s="220"/>
      <c r="EY428" s="220"/>
      <c r="EZ428" s="220"/>
      <c r="FA428" s="220"/>
      <c r="FB428" s="220"/>
      <c r="FC428" s="220"/>
      <c r="FD428" s="220"/>
      <c r="FE428" s="220"/>
      <c r="FF428" s="220"/>
      <c r="FG428" s="220"/>
      <c r="FH428" s="220"/>
      <c r="FI428" s="220"/>
      <c r="FJ428" s="220"/>
      <c r="FK428" s="220"/>
      <c r="FL428" s="220"/>
      <c r="FM428" s="220"/>
      <c r="FN428" s="220"/>
      <c r="FO428" s="220"/>
      <c r="FP428" s="220"/>
      <c r="FQ428" s="220"/>
      <c r="FR428" s="220"/>
      <c r="FS428" s="220"/>
      <c r="FT428" s="220"/>
      <c r="FU428" s="220"/>
      <c r="FV428" s="220"/>
      <c r="FW428" s="220"/>
      <c r="FX428" s="220"/>
      <c r="FY428" s="220"/>
      <c r="FZ428" s="220"/>
      <c r="GA428" s="220"/>
      <c r="GB428" s="220"/>
      <c r="GC428" s="220"/>
      <c r="GD428" s="220"/>
      <c r="GE428" s="220"/>
      <c r="GF428" s="220"/>
      <c r="GG428" s="220"/>
      <c r="GH428" s="220"/>
      <c r="GI428" s="220"/>
      <c r="GJ428" s="220"/>
      <c r="GK428" s="220"/>
      <c r="GL428" s="220"/>
      <c r="GM428" s="220"/>
      <c r="GN428" s="220"/>
      <c r="GO428" s="220"/>
      <c r="GP428" s="220"/>
      <c r="GQ428" s="220"/>
      <c r="GR428" s="220"/>
      <c r="GS428" s="220"/>
      <c r="GT428" s="220"/>
      <c r="GU428" s="220"/>
      <c r="GV428" s="220"/>
      <c r="GW428" s="220"/>
      <c r="GX428" s="220"/>
      <c r="GY428" s="220"/>
      <c r="GZ428" s="220"/>
      <c r="HA428" s="220"/>
      <c r="HB428" s="220"/>
      <c r="HC428" s="220"/>
      <c r="HD428" s="220"/>
      <c r="HE428" s="220"/>
      <c r="HF428" s="220"/>
      <c r="HG428" s="220"/>
      <c r="HH428" s="220"/>
      <c r="HI428" s="220"/>
      <c r="HJ428" s="220"/>
      <c r="HK428" s="220"/>
      <c r="HL428" s="220"/>
      <c r="HM428" s="220"/>
      <c r="HN428" s="220"/>
      <c r="HO428" s="220"/>
      <c r="HP428" s="220"/>
      <c r="HQ428" s="220"/>
      <c r="HR428" s="220"/>
      <c r="HS428" s="220"/>
      <c r="HT428" s="220"/>
      <c r="HU428" s="220"/>
      <c r="HV428" s="220"/>
      <c r="HW428" s="220"/>
      <c r="HX428" s="220"/>
      <c r="HY428" s="220"/>
      <c r="HZ428" s="220"/>
      <c r="IA428" s="220"/>
      <c r="IB428" s="220"/>
      <c r="IC428" s="220"/>
      <c r="ID428" s="220"/>
      <c r="IE428" s="220"/>
      <c r="IF428" s="220"/>
      <c r="IG428" s="220"/>
      <c r="IH428" s="220"/>
      <c r="II428" s="220"/>
      <c r="IJ428" s="220"/>
      <c r="IK428" s="220"/>
      <c r="IL428" s="220"/>
      <c r="IM428" s="220"/>
      <c r="IN428" s="220"/>
      <c r="IO428" s="220"/>
      <c r="IP428" s="220"/>
      <c r="IQ428" s="220"/>
      <c r="IR428" s="220"/>
      <c r="IS428" s="220"/>
      <c r="IT428" s="220"/>
      <c r="IU428" s="220"/>
      <c r="IV428" s="220"/>
      <c r="IW428" s="220"/>
      <c r="IX428" s="220"/>
      <c r="IY428" s="220"/>
      <c r="IZ428" s="220"/>
      <c r="JA428" s="220"/>
      <c r="JB428" s="220"/>
      <c r="JC428" s="220"/>
      <c r="JD428" s="220"/>
      <c r="JE428" s="220"/>
      <c r="JF428" s="220"/>
      <c r="JG428" s="220"/>
      <c r="JH428" s="220"/>
      <c r="JI428" s="220"/>
      <c r="JJ428" s="220"/>
      <c r="JK428" s="220"/>
      <c r="JL428" s="220"/>
      <c r="JM428" s="220"/>
      <c r="JN428" s="220"/>
      <c r="JO428" s="220"/>
      <c r="JP428" s="220"/>
      <c r="JQ428" s="220"/>
      <c r="JR428" s="220"/>
      <c r="JS428" s="220"/>
      <c r="JT428" s="220"/>
      <c r="JU428" s="220"/>
      <c r="JV428" s="220"/>
      <c r="JW428" s="220"/>
      <c r="JX428" s="220"/>
      <c r="JY428" s="220"/>
      <c r="JZ428" s="220"/>
      <c r="KA428" s="220"/>
      <c r="KB428" s="220"/>
      <c r="KC428" s="220"/>
      <c r="KD428" s="220"/>
      <c r="KE428" s="220"/>
      <c r="KF428" s="220"/>
      <c r="KG428" s="220"/>
      <c r="KH428" s="220"/>
      <c r="KI428" s="220"/>
      <c r="KJ428" s="220"/>
      <c r="KK428" s="220"/>
      <c r="KL428" s="220"/>
      <c r="KM428" s="220"/>
      <c r="KN428" s="220"/>
      <c r="KO428" s="220"/>
      <c r="KP428" s="220"/>
      <c r="KQ428" s="220"/>
      <c r="KR428" s="220"/>
      <c r="KS428" s="220"/>
      <c r="KT428" s="220"/>
      <c r="KU428" s="220"/>
      <c r="KV428" s="220"/>
      <c r="KW428" s="220"/>
      <c r="KX428" s="220"/>
      <c r="KY428" s="220"/>
      <c r="KZ428" s="220"/>
      <c r="LA428" s="220"/>
      <c r="LB428" s="220"/>
      <c r="LC428" s="220"/>
      <c r="LD428" s="220"/>
      <c r="LE428" s="220"/>
      <c r="LF428" s="220"/>
      <c r="LG428" s="220"/>
      <c r="LH428" s="220"/>
      <c r="LI428" s="220"/>
      <c r="LJ428" s="220"/>
      <c r="LK428" s="220"/>
      <c r="LL428" s="220"/>
      <c r="LM428" s="220"/>
      <c r="LN428" s="220"/>
      <c r="LO428" s="220"/>
      <c r="LP428" s="220"/>
      <c r="LQ428" s="220"/>
      <c r="LR428" s="220"/>
      <c r="LS428" s="220"/>
      <c r="LT428" s="220"/>
      <c r="LU428" s="220"/>
      <c r="LV428" s="220"/>
      <c r="LW428" s="220"/>
      <c r="LX428" s="220"/>
      <c r="LY428" s="220"/>
      <c r="LZ428" s="220"/>
      <c r="MA428" s="220"/>
      <c r="MB428" s="220"/>
      <c r="MC428" s="220"/>
      <c r="MD428" s="220"/>
      <c r="ME428" s="220"/>
      <c r="MF428" s="220"/>
      <c r="MG428" s="220"/>
      <c r="MH428" s="220"/>
      <c r="MI428" s="220"/>
      <c r="MJ428" s="220"/>
      <c r="MK428" s="220"/>
      <c r="ML428" s="220"/>
      <c r="MM428" s="220"/>
      <c r="MN428" s="220"/>
      <c r="MO428" s="220"/>
      <c r="MP428" s="220"/>
      <c r="MQ428" s="220"/>
      <c r="MR428" s="220"/>
      <c r="MS428" s="220"/>
      <c r="MT428" s="220"/>
      <c r="MU428" s="220"/>
      <c r="MV428" s="220"/>
      <c r="MW428" s="220"/>
      <c r="MX428" s="220"/>
      <c r="MY428" s="220"/>
      <c r="MZ428" s="220"/>
      <c r="NA428" s="220"/>
      <c r="NB428" s="220"/>
      <c r="NC428" s="220"/>
      <c r="ND428" s="220"/>
      <c r="NE428" s="220"/>
      <c r="NF428" s="220"/>
      <c r="NG428" s="220"/>
      <c r="NH428" s="220"/>
      <c r="NI428" s="220"/>
      <c r="NJ428" s="220"/>
      <c r="NK428" s="220"/>
      <c r="NL428" s="220"/>
      <c r="NM428" s="220"/>
      <c r="NN428" s="220"/>
      <c r="NO428" s="220"/>
      <c r="NP428" s="220"/>
      <c r="NQ428" s="220"/>
      <c r="NR428" s="220"/>
      <c r="NS428" s="220"/>
      <c r="NT428" s="220"/>
      <c r="NU428" s="220"/>
      <c r="NV428" s="220"/>
      <c r="NW428" s="220"/>
      <c r="NX428" s="220"/>
      <c r="NY428" s="220"/>
      <c r="NZ428" s="220"/>
      <c r="OA428" s="220"/>
      <c r="OB428" s="220"/>
      <c r="OC428" s="220"/>
      <c r="OD428" s="220"/>
      <c r="OE428" s="220"/>
      <c r="OF428" s="220"/>
      <c r="OG428" s="220"/>
      <c r="OH428" s="220"/>
      <c r="OI428" s="220"/>
      <c r="OJ428" s="220"/>
      <c r="OK428" s="220"/>
      <c r="OL428" s="220"/>
      <c r="OM428" s="220"/>
      <c r="ON428" s="220"/>
      <c r="OO428" s="220"/>
      <c r="OP428" s="220"/>
      <c r="OQ428" s="220"/>
      <c r="OR428" s="220"/>
      <c r="OS428" s="220"/>
      <c r="OT428" s="220"/>
      <c r="OU428" s="220"/>
      <c r="OV428" s="220"/>
      <c r="OW428" s="220"/>
      <c r="OX428" s="220"/>
      <c r="OY428" s="220"/>
      <c r="OZ428" s="220"/>
      <c r="PA428" s="220"/>
      <c r="PB428" s="220"/>
      <c r="PC428" s="220"/>
      <c r="PD428" s="220"/>
      <c r="PE428" s="220"/>
      <c r="PF428" s="220"/>
      <c r="PG428" s="220"/>
      <c r="PH428" s="220"/>
      <c r="PI428" s="220"/>
      <c r="PJ428" s="220"/>
      <c r="PK428" s="220"/>
      <c r="PL428" s="220"/>
      <c r="PM428" s="220"/>
      <c r="PN428" s="220"/>
      <c r="PO428" s="220"/>
      <c r="PP428" s="220"/>
      <c r="PQ428" s="220"/>
      <c r="PR428" s="220"/>
      <c r="PS428" s="220"/>
      <c r="PT428" s="220"/>
      <c r="PU428" s="220"/>
      <c r="PV428" s="220"/>
      <c r="PW428" s="220"/>
      <c r="PX428" s="220"/>
      <c r="PY428" s="220"/>
      <c r="PZ428" s="220"/>
      <c r="QA428" s="220"/>
      <c r="QB428" s="220"/>
      <c r="QC428" s="220"/>
      <c r="QD428" s="220"/>
      <c r="QE428" s="220"/>
      <c r="QF428" s="220"/>
      <c r="QG428" s="220"/>
      <c r="QH428" s="220"/>
      <c r="QI428" s="220"/>
      <c r="QJ428" s="220"/>
      <c r="QK428" s="220"/>
      <c r="QL428" s="220"/>
      <c r="QM428" s="220"/>
      <c r="QN428" s="220"/>
      <c r="QO428" s="220"/>
      <c r="QP428" s="220"/>
      <c r="QQ428" s="220"/>
      <c r="QR428" s="220"/>
      <c r="QS428" s="220"/>
      <c r="QT428" s="220"/>
      <c r="QU428" s="220"/>
      <c r="QV428" s="220"/>
      <c r="QW428" s="220"/>
      <c r="QX428" s="220"/>
      <c r="QY428" s="220"/>
      <c r="QZ428" s="220"/>
      <c r="RA428" s="220"/>
      <c r="RB428" s="220"/>
      <c r="RC428" s="220"/>
      <c r="RD428" s="220"/>
      <c r="RE428" s="220"/>
      <c r="RF428" s="220"/>
      <c r="RG428" s="220"/>
      <c r="RH428" s="220"/>
      <c r="RI428" s="220"/>
      <c r="RJ428" s="220"/>
      <c r="RK428" s="220"/>
      <c r="RL428" s="220"/>
      <c r="RM428" s="220"/>
      <c r="RN428" s="220"/>
      <c r="RO428" s="220"/>
      <c r="RP428" s="220"/>
      <c r="RQ428" s="220"/>
      <c r="RR428" s="220"/>
      <c r="RS428" s="220"/>
      <c r="RT428" s="220"/>
      <c r="RU428" s="220"/>
      <c r="RV428" s="220"/>
      <c r="RW428" s="220"/>
      <c r="RX428" s="220"/>
      <c r="RY428" s="220"/>
      <c r="RZ428" s="220"/>
      <c r="SA428" s="220"/>
      <c r="SB428" s="220"/>
      <c r="SC428" s="220"/>
      <c r="SD428" s="220"/>
      <c r="SE428" s="220"/>
      <c r="SF428" s="220"/>
      <c r="SG428" s="220"/>
      <c r="SH428" s="220"/>
      <c r="SI428" s="220"/>
      <c r="SJ428" s="220"/>
      <c r="SK428" s="220"/>
      <c r="SL428" s="220"/>
      <c r="SM428" s="220"/>
      <c r="SN428" s="220"/>
      <c r="SO428" s="220"/>
      <c r="SP428" s="220"/>
      <c r="SQ428" s="220"/>
      <c r="SR428" s="220"/>
      <c r="SS428" s="220"/>
      <c r="ST428" s="220"/>
      <c r="SU428" s="220"/>
      <c r="SV428" s="220"/>
      <c r="SW428" s="220"/>
      <c r="SX428" s="220"/>
      <c r="SY428" s="220"/>
      <c r="SZ428" s="220"/>
      <c r="TA428" s="220"/>
      <c r="TB428" s="220"/>
      <c r="TC428" s="220"/>
      <c r="TD428" s="220"/>
      <c r="TE428" s="220"/>
      <c r="TF428" s="220"/>
      <c r="TG428" s="220"/>
      <c r="TH428" s="220"/>
      <c r="TI428" s="220"/>
      <c r="TJ428" s="220"/>
      <c r="TK428" s="220"/>
      <c r="TL428" s="220"/>
      <c r="TM428" s="220"/>
      <c r="TN428" s="220"/>
      <c r="TO428" s="220"/>
      <c r="TP428" s="220"/>
      <c r="TQ428" s="220"/>
      <c r="TR428" s="220"/>
      <c r="TS428" s="220"/>
      <c r="TT428" s="220"/>
      <c r="TU428" s="220"/>
      <c r="TV428" s="220"/>
      <c r="TW428" s="220"/>
      <c r="TX428" s="220"/>
      <c r="TY428" s="220"/>
      <c r="TZ428" s="220"/>
      <c r="UA428" s="220"/>
      <c r="UB428" s="220"/>
      <c r="UC428" s="220"/>
      <c r="UD428" s="220"/>
      <c r="UE428" s="220"/>
      <c r="UF428" s="220"/>
      <c r="UG428" s="220"/>
      <c r="UH428" s="220"/>
      <c r="UI428" s="220"/>
      <c r="UJ428" s="220"/>
      <c r="UK428" s="220"/>
      <c r="UL428" s="220"/>
      <c r="UM428" s="220"/>
      <c r="UN428" s="220"/>
      <c r="UO428" s="220"/>
      <c r="UP428" s="220"/>
      <c r="UQ428" s="220"/>
      <c r="UR428" s="220"/>
      <c r="US428" s="220"/>
      <c r="UT428" s="220"/>
      <c r="UU428" s="220"/>
      <c r="UV428" s="220"/>
      <c r="UW428" s="220"/>
      <c r="UX428" s="220"/>
      <c r="UY428" s="220"/>
      <c r="UZ428" s="220"/>
      <c r="VA428" s="220"/>
      <c r="VB428" s="220"/>
      <c r="VC428" s="220"/>
      <c r="VD428" s="220"/>
      <c r="VE428" s="220"/>
      <c r="VF428" s="220"/>
      <c r="VG428" s="220"/>
      <c r="VH428" s="220"/>
      <c r="VI428" s="220"/>
      <c r="VJ428" s="220"/>
      <c r="VK428" s="220"/>
      <c r="VL428" s="220"/>
      <c r="VM428" s="220"/>
      <c r="VN428" s="220"/>
      <c r="VO428" s="220"/>
      <c r="VP428" s="220"/>
      <c r="VQ428" s="220"/>
      <c r="VR428" s="220"/>
      <c r="VS428" s="220"/>
      <c r="VT428" s="220"/>
      <c r="VU428" s="220"/>
      <c r="VV428" s="220"/>
      <c r="VW428" s="220"/>
      <c r="VX428" s="220"/>
      <c r="VY428" s="220"/>
      <c r="VZ428" s="220"/>
      <c r="WA428" s="220"/>
      <c r="WB428" s="220"/>
      <c r="WC428" s="220"/>
      <c r="WD428" s="220"/>
      <c r="WE428" s="220"/>
      <c r="WF428" s="220"/>
      <c r="WG428" s="220"/>
      <c r="WH428" s="220"/>
      <c r="WI428" s="220"/>
      <c r="WJ428" s="220"/>
      <c r="WK428" s="220"/>
      <c r="WL428" s="220"/>
      <c r="WM428" s="220"/>
      <c r="WN428" s="220"/>
      <c r="WO428" s="220"/>
      <c r="WP428" s="220"/>
      <c r="WQ428" s="220"/>
      <c r="WR428" s="220"/>
      <c r="WS428" s="220"/>
      <c r="WT428" s="220"/>
      <c r="WU428" s="220"/>
      <c r="WV428" s="220"/>
      <c r="WW428" s="220"/>
      <c r="WX428" s="220"/>
      <c r="WY428" s="220"/>
      <c r="WZ428" s="220"/>
      <c r="XA428" s="220"/>
      <c r="XB428" s="220"/>
      <c r="XC428" s="220"/>
      <c r="XD428" s="220"/>
      <c r="XE428" s="220"/>
      <c r="XF428" s="220"/>
      <c r="XG428" s="220"/>
      <c r="XH428" s="220"/>
      <c r="XI428" s="220"/>
      <c r="XJ428" s="220"/>
      <c r="XK428" s="220"/>
      <c r="XL428" s="220"/>
      <c r="XM428" s="220"/>
      <c r="XN428" s="220"/>
      <c r="XO428" s="220"/>
      <c r="XP428" s="220"/>
      <c r="XQ428" s="220"/>
      <c r="XR428" s="220"/>
      <c r="XS428" s="220"/>
      <c r="XT428" s="220"/>
      <c r="XU428" s="220"/>
      <c r="XV428" s="220"/>
      <c r="XW428" s="220"/>
      <c r="XX428" s="220"/>
      <c r="XY428" s="220"/>
      <c r="XZ428" s="220"/>
      <c r="YA428" s="220"/>
      <c r="YB428" s="220"/>
      <c r="YC428" s="220"/>
      <c r="YD428" s="220"/>
      <c r="YE428" s="220"/>
      <c r="YF428" s="220"/>
      <c r="YG428" s="220"/>
      <c r="YH428" s="220"/>
      <c r="YI428" s="220"/>
      <c r="YJ428" s="220"/>
      <c r="YK428" s="220"/>
      <c r="YL428" s="220"/>
      <c r="YM428" s="220"/>
      <c r="YN428" s="220"/>
      <c r="YO428" s="220"/>
      <c r="YP428" s="220"/>
      <c r="YQ428" s="220"/>
      <c r="YR428" s="220"/>
      <c r="YS428" s="220"/>
      <c r="YT428" s="220"/>
      <c r="YU428" s="220"/>
      <c r="YV428" s="220"/>
      <c r="YW428" s="220"/>
      <c r="YX428" s="220"/>
      <c r="YY428" s="220"/>
      <c r="YZ428" s="220"/>
      <c r="ZA428" s="220"/>
      <c r="ZB428" s="220"/>
      <c r="ZC428" s="220"/>
      <c r="ZD428" s="220"/>
      <c r="ZE428" s="220"/>
      <c r="ZF428" s="220"/>
      <c r="ZG428" s="220"/>
      <c r="ZH428" s="220"/>
      <c r="ZI428" s="220"/>
      <c r="ZJ428" s="220"/>
      <c r="ZK428" s="220"/>
      <c r="ZL428" s="220"/>
      <c r="ZM428" s="220"/>
      <c r="ZN428" s="220"/>
      <c r="ZO428" s="220"/>
      <c r="ZP428" s="220"/>
      <c r="ZQ428" s="220"/>
      <c r="ZR428" s="220"/>
      <c r="ZS428" s="220"/>
      <c r="ZT428" s="220"/>
      <c r="ZU428" s="220"/>
      <c r="ZV428" s="220"/>
      <c r="ZW428" s="220"/>
      <c r="ZX428" s="220"/>
      <c r="ZY428" s="220"/>
      <c r="ZZ428" s="220"/>
      <c r="AAA428" s="220"/>
      <c r="AAB428" s="220"/>
      <c r="AAC428" s="220"/>
      <c r="AAD428" s="220"/>
      <c r="AAE428" s="220"/>
      <c r="AAF428" s="220"/>
      <c r="AAG428" s="220"/>
      <c r="AAH428" s="220"/>
      <c r="AAI428" s="220"/>
      <c r="AAJ428" s="220"/>
      <c r="AAK428" s="220"/>
      <c r="AAL428" s="220"/>
      <c r="AAM428" s="220"/>
      <c r="AAN428" s="220"/>
      <c r="AAO428" s="220"/>
      <c r="AAP428" s="220"/>
      <c r="AAQ428" s="220"/>
      <c r="AAR428" s="220"/>
      <c r="AAS428" s="220"/>
      <c r="AAT428" s="220"/>
      <c r="AAU428" s="220"/>
      <c r="AAV428" s="220"/>
      <c r="AAW428" s="220"/>
      <c r="AAX428" s="220"/>
      <c r="AAY428" s="220"/>
      <c r="AAZ428" s="220"/>
      <c r="ABA428" s="220"/>
      <c r="ABB428" s="220"/>
      <c r="ABC428" s="220"/>
      <c r="ABD428" s="220"/>
      <c r="ABE428" s="220"/>
      <c r="ABF428" s="220"/>
      <c r="ABG428" s="220"/>
    </row>
    <row r="429" spans="1:735" s="246" customFormat="1" ht="30" customHeight="1" x14ac:dyDescent="0.2">
      <c r="A429" s="180">
        <v>3399</v>
      </c>
      <c r="B429" s="123" t="s">
        <v>331</v>
      </c>
      <c r="C429" s="136">
        <v>40000</v>
      </c>
      <c r="D429" s="136">
        <v>40000</v>
      </c>
      <c r="E429" s="549"/>
      <c r="F429" s="549"/>
      <c r="G429" s="120"/>
      <c r="H429" s="120"/>
      <c r="I429" s="120"/>
      <c r="J429" s="162"/>
      <c r="K429" s="220"/>
      <c r="L429" s="220"/>
      <c r="M429" s="220"/>
      <c r="N429" s="220"/>
      <c r="O429" s="220"/>
      <c r="P429" s="220"/>
      <c r="Q429" s="220"/>
      <c r="R429" s="220"/>
      <c r="S429" s="220"/>
      <c r="T429" s="220"/>
      <c r="U429" s="220"/>
      <c r="V429" s="220"/>
      <c r="W429" s="220"/>
      <c r="X429" s="220"/>
      <c r="Y429" s="220"/>
      <c r="Z429" s="220"/>
      <c r="AA429" s="220"/>
      <c r="AB429" s="220"/>
      <c r="AC429" s="220"/>
      <c r="AD429" s="220"/>
      <c r="AE429" s="220"/>
      <c r="AF429" s="220"/>
      <c r="AG429" s="220"/>
      <c r="AH429" s="220"/>
      <c r="AI429" s="220"/>
      <c r="AJ429" s="220"/>
      <c r="AK429" s="220"/>
      <c r="AL429" s="220"/>
      <c r="AM429" s="220"/>
      <c r="AN429" s="220"/>
      <c r="AO429" s="220"/>
      <c r="AP429" s="220"/>
      <c r="AQ429" s="220"/>
      <c r="AR429" s="220"/>
      <c r="AS429" s="220"/>
      <c r="AT429" s="220"/>
      <c r="AU429" s="220"/>
      <c r="AV429" s="220"/>
      <c r="AW429" s="220"/>
      <c r="AX429" s="220"/>
      <c r="AY429" s="220"/>
      <c r="AZ429" s="220"/>
      <c r="BA429" s="220"/>
      <c r="BB429" s="220"/>
      <c r="BC429" s="220"/>
      <c r="BD429" s="220"/>
      <c r="BE429" s="220"/>
      <c r="BF429" s="220"/>
      <c r="BG429" s="220"/>
      <c r="BH429" s="220"/>
      <c r="BI429" s="220"/>
      <c r="BJ429" s="220"/>
      <c r="BK429" s="220"/>
      <c r="BL429" s="220"/>
      <c r="BM429" s="220"/>
      <c r="BN429" s="220"/>
      <c r="BO429" s="220"/>
      <c r="BP429" s="220"/>
      <c r="BQ429" s="220"/>
      <c r="BR429" s="220"/>
      <c r="BS429" s="220"/>
      <c r="BT429" s="220"/>
      <c r="BU429" s="220"/>
      <c r="BV429" s="220"/>
      <c r="BW429" s="220"/>
      <c r="BX429" s="220"/>
      <c r="BY429" s="220"/>
      <c r="BZ429" s="220"/>
      <c r="CA429" s="220"/>
      <c r="CB429" s="220"/>
      <c r="CC429" s="220"/>
      <c r="CD429" s="220"/>
      <c r="CE429" s="220"/>
      <c r="CF429" s="220"/>
      <c r="CG429" s="220"/>
      <c r="CH429" s="220"/>
      <c r="CI429" s="220"/>
      <c r="CJ429" s="220"/>
      <c r="CK429" s="220"/>
      <c r="CL429" s="220"/>
      <c r="CM429" s="220"/>
      <c r="CN429" s="220"/>
      <c r="CO429" s="220"/>
      <c r="CP429" s="220"/>
      <c r="CQ429" s="220"/>
      <c r="CR429" s="220"/>
      <c r="CS429" s="220"/>
      <c r="CT429" s="220"/>
      <c r="CU429" s="220"/>
      <c r="CV429" s="220"/>
      <c r="CW429" s="220"/>
      <c r="CX429" s="220"/>
      <c r="CY429" s="220"/>
      <c r="CZ429" s="220"/>
      <c r="DA429" s="220"/>
      <c r="DB429" s="220"/>
      <c r="DC429" s="220"/>
      <c r="DD429" s="220"/>
      <c r="DE429" s="220"/>
      <c r="DF429" s="220"/>
      <c r="DG429" s="220"/>
      <c r="DH429" s="220"/>
      <c r="DI429" s="220"/>
      <c r="DJ429" s="220"/>
      <c r="DK429" s="220"/>
      <c r="DL429" s="220"/>
      <c r="DM429" s="220"/>
      <c r="DN429" s="220"/>
      <c r="DO429" s="220"/>
      <c r="DP429" s="220"/>
      <c r="DQ429" s="220"/>
      <c r="DR429" s="220"/>
      <c r="DS429" s="220"/>
      <c r="DT429" s="220"/>
      <c r="DU429" s="220"/>
      <c r="DV429" s="220"/>
      <c r="DW429" s="220"/>
      <c r="DX429" s="220"/>
      <c r="DY429" s="220"/>
      <c r="DZ429" s="220"/>
      <c r="EA429" s="220"/>
      <c r="EB429" s="220"/>
      <c r="EC429" s="220"/>
      <c r="ED429" s="220"/>
      <c r="EE429" s="220"/>
      <c r="EF429" s="220"/>
      <c r="EG429" s="220"/>
      <c r="EH429" s="220"/>
      <c r="EI429" s="220"/>
      <c r="EJ429" s="220"/>
      <c r="EK429" s="220"/>
      <c r="EL429" s="220"/>
      <c r="EM429" s="220"/>
      <c r="EN429" s="220"/>
      <c r="EO429" s="220"/>
      <c r="EP429" s="220"/>
      <c r="EQ429" s="220"/>
      <c r="ER429" s="220"/>
      <c r="ES429" s="220"/>
      <c r="ET429" s="220"/>
      <c r="EU429" s="220"/>
      <c r="EV429" s="220"/>
      <c r="EW429" s="220"/>
      <c r="EX429" s="220"/>
      <c r="EY429" s="220"/>
      <c r="EZ429" s="220"/>
      <c r="FA429" s="220"/>
      <c r="FB429" s="220"/>
      <c r="FC429" s="220"/>
      <c r="FD429" s="220"/>
      <c r="FE429" s="220"/>
      <c r="FF429" s="220"/>
      <c r="FG429" s="220"/>
      <c r="FH429" s="220"/>
      <c r="FI429" s="220"/>
      <c r="FJ429" s="220"/>
      <c r="FK429" s="220"/>
      <c r="FL429" s="220"/>
      <c r="FM429" s="220"/>
      <c r="FN429" s="220"/>
      <c r="FO429" s="220"/>
      <c r="FP429" s="220"/>
      <c r="FQ429" s="220"/>
      <c r="FR429" s="220"/>
      <c r="FS429" s="220"/>
      <c r="FT429" s="220"/>
      <c r="FU429" s="220"/>
      <c r="FV429" s="220"/>
      <c r="FW429" s="220"/>
      <c r="FX429" s="220"/>
      <c r="FY429" s="220"/>
      <c r="FZ429" s="220"/>
      <c r="GA429" s="220"/>
      <c r="GB429" s="220"/>
      <c r="GC429" s="220"/>
      <c r="GD429" s="220"/>
      <c r="GE429" s="220"/>
      <c r="GF429" s="220"/>
      <c r="GG429" s="220"/>
      <c r="GH429" s="220"/>
      <c r="GI429" s="220"/>
      <c r="GJ429" s="220"/>
      <c r="GK429" s="220"/>
      <c r="GL429" s="220"/>
      <c r="GM429" s="220"/>
      <c r="GN429" s="220"/>
      <c r="GO429" s="220"/>
      <c r="GP429" s="220"/>
      <c r="GQ429" s="220"/>
      <c r="GR429" s="220"/>
      <c r="GS429" s="220"/>
      <c r="GT429" s="220"/>
      <c r="GU429" s="220"/>
      <c r="GV429" s="220"/>
      <c r="GW429" s="220"/>
      <c r="GX429" s="220"/>
      <c r="GY429" s="220"/>
      <c r="GZ429" s="220"/>
      <c r="HA429" s="220"/>
      <c r="HB429" s="220"/>
      <c r="HC429" s="220"/>
      <c r="HD429" s="220"/>
      <c r="HE429" s="220"/>
      <c r="HF429" s="220"/>
      <c r="HG429" s="220"/>
      <c r="HH429" s="220"/>
      <c r="HI429" s="220"/>
      <c r="HJ429" s="220"/>
      <c r="HK429" s="220"/>
      <c r="HL429" s="220"/>
      <c r="HM429" s="220"/>
      <c r="HN429" s="220"/>
      <c r="HO429" s="220"/>
      <c r="HP429" s="220"/>
      <c r="HQ429" s="220"/>
      <c r="HR429" s="220"/>
      <c r="HS429" s="220"/>
      <c r="HT429" s="220"/>
      <c r="HU429" s="220"/>
      <c r="HV429" s="220"/>
      <c r="HW429" s="220"/>
      <c r="HX429" s="220"/>
      <c r="HY429" s="220"/>
      <c r="HZ429" s="220"/>
      <c r="IA429" s="220"/>
      <c r="IB429" s="220"/>
      <c r="IC429" s="220"/>
      <c r="ID429" s="220"/>
      <c r="IE429" s="220"/>
      <c r="IF429" s="220"/>
      <c r="IG429" s="220"/>
      <c r="IH429" s="220"/>
      <c r="II429" s="220"/>
      <c r="IJ429" s="220"/>
      <c r="IK429" s="220"/>
      <c r="IL429" s="220"/>
      <c r="IM429" s="220"/>
      <c r="IN429" s="220"/>
      <c r="IO429" s="220"/>
      <c r="IP429" s="220"/>
      <c r="IQ429" s="220"/>
      <c r="IR429" s="220"/>
      <c r="IS429" s="220"/>
      <c r="IT429" s="220"/>
      <c r="IU429" s="220"/>
      <c r="IV429" s="220"/>
      <c r="IW429" s="220"/>
      <c r="IX429" s="220"/>
      <c r="IY429" s="220"/>
      <c r="IZ429" s="220"/>
      <c r="JA429" s="220"/>
      <c r="JB429" s="220"/>
      <c r="JC429" s="220"/>
      <c r="JD429" s="220"/>
      <c r="JE429" s="220"/>
      <c r="JF429" s="220"/>
      <c r="JG429" s="220"/>
      <c r="JH429" s="220"/>
      <c r="JI429" s="220"/>
      <c r="JJ429" s="220"/>
      <c r="JK429" s="220"/>
      <c r="JL429" s="220"/>
      <c r="JM429" s="220"/>
      <c r="JN429" s="220"/>
      <c r="JO429" s="220"/>
      <c r="JP429" s="220"/>
      <c r="JQ429" s="220"/>
      <c r="JR429" s="220"/>
      <c r="JS429" s="220"/>
      <c r="JT429" s="220"/>
      <c r="JU429" s="220"/>
      <c r="JV429" s="220"/>
      <c r="JW429" s="220"/>
      <c r="JX429" s="220"/>
      <c r="JY429" s="220"/>
      <c r="JZ429" s="220"/>
      <c r="KA429" s="220"/>
      <c r="KB429" s="220"/>
      <c r="KC429" s="220"/>
      <c r="KD429" s="220"/>
      <c r="KE429" s="220"/>
      <c r="KF429" s="220"/>
      <c r="KG429" s="220"/>
      <c r="KH429" s="220"/>
      <c r="KI429" s="220"/>
      <c r="KJ429" s="220"/>
      <c r="KK429" s="220"/>
      <c r="KL429" s="220"/>
      <c r="KM429" s="220"/>
      <c r="KN429" s="220"/>
      <c r="KO429" s="220"/>
      <c r="KP429" s="220"/>
      <c r="KQ429" s="220"/>
      <c r="KR429" s="220"/>
      <c r="KS429" s="220"/>
      <c r="KT429" s="220"/>
      <c r="KU429" s="220"/>
      <c r="KV429" s="220"/>
      <c r="KW429" s="220"/>
      <c r="KX429" s="220"/>
      <c r="KY429" s="220"/>
      <c r="KZ429" s="220"/>
      <c r="LA429" s="220"/>
      <c r="LB429" s="220"/>
      <c r="LC429" s="220"/>
      <c r="LD429" s="220"/>
      <c r="LE429" s="220"/>
      <c r="LF429" s="220"/>
      <c r="LG429" s="220"/>
      <c r="LH429" s="220"/>
      <c r="LI429" s="220"/>
      <c r="LJ429" s="220"/>
      <c r="LK429" s="220"/>
      <c r="LL429" s="220"/>
      <c r="LM429" s="220"/>
      <c r="LN429" s="220"/>
      <c r="LO429" s="220"/>
      <c r="LP429" s="220"/>
      <c r="LQ429" s="220"/>
      <c r="LR429" s="220"/>
      <c r="LS429" s="220"/>
      <c r="LT429" s="220"/>
      <c r="LU429" s="220"/>
      <c r="LV429" s="220"/>
      <c r="LW429" s="220"/>
      <c r="LX429" s="220"/>
      <c r="LY429" s="220"/>
      <c r="LZ429" s="220"/>
      <c r="MA429" s="220"/>
      <c r="MB429" s="220"/>
      <c r="MC429" s="220"/>
      <c r="MD429" s="220"/>
      <c r="ME429" s="220"/>
      <c r="MF429" s="220"/>
      <c r="MG429" s="220"/>
      <c r="MH429" s="220"/>
      <c r="MI429" s="220"/>
      <c r="MJ429" s="220"/>
      <c r="MK429" s="220"/>
      <c r="ML429" s="220"/>
      <c r="MM429" s="220"/>
      <c r="MN429" s="220"/>
      <c r="MO429" s="220"/>
      <c r="MP429" s="220"/>
      <c r="MQ429" s="220"/>
      <c r="MR429" s="220"/>
      <c r="MS429" s="220"/>
      <c r="MT429" s="220"/>
      <c r="MU429" s="220"/>
      <c r="MV429" s="220"/>
      <c r="MW429" s="220"/>
      <c r="MX429" s="220"/>
      <c r="MY429" s="220"/>
      <c r="MZ429" s="220"/>
      <c r="NA429" s="220"/>
      <c r="NB429" s="220"/>
      <c r="NC429" s="220"/>
      <c r="ND429" s="220"/>
      <c r="NE429" s="220"/>
      <c r="NF429" s="220"/>
      <c r="NG429" s="220"/>
      <c r="NH429" s="220"/>
      <c r="NI429" s="220"/>
      <c r="NJ429" s="220"/>
      <c r="NK429" s="220"/>
      <c r="NL429" s="220"/>
      <c r="NM429" s="220"/>
      <c r="NN429" s="220"/>
      <c r="NO429" s="220"/>
      <c r="NP429" s="220"/>
      <c r="NQ429" s="220"/>
      <c r="NR429" s="220"/>
      <c r="NS429" s="220"/>
      <c r="NT429" s="220"/>
      <c r="NU429" s="220"/>
      <c r="NV429" s="220"/>
      <c r="NW429" s="220"/>
      <c r="NX429" s="220"/>
      <c r="NY429" s="220"/>
      <c r="NZ429" s="220"/>
      <c r="OA429" s="220"/>
      <c r="OB429" s="220"/>
      <c r="OC429" s="220"/>
      <c r="OD429" s="220"/>
      <c r="OE429" s="220"/>
      <c r="OF429" s="220"/>
      <c r="OG429" s="220"/>
      <c r="OH429" s="220"/>
      <c r="OI429" s="220"/>
      <c r="OJ429" s="220"/>
      <c r="OK429" s="220"/>
      <c r="OL429" s="220"/>
      <c r="OM429" s="220"/>
      <c r="ON429" s="220"/>
      <c r="OO429" s="220"/>
      <c r="OP429" s="220"/>
      <c r="OQ429" s="220"/>
      <c r="OR429" s="220"/>
      <c r="OS429" s="220"/>
      <c r="OT429" s="220"/>
      <c r="OU429" s="220"/>
      <c r="OV429" s="220"/>
      <c r="OW429" s="220"/>
      <c r="OX429" s="220"/>
      <c r="OY429" s="220"/>
      <c r="OZ429" s="220"/>
      <c r="PA429" s="220"/>
      <c r="PB429" s="220"/>
      <c r="PC429" s="220"/>
      <c r="PD429" s="220"/>
      <c r="PE429" s="220"/>
      <c r="PF429" s="220"/>
      <c r="PG429" s="220"/>
      <c r="PH429" s="220"/>
      <c r="PI429" s="220"/>
      <c r="PJ429" s="220"/>
      <c r="PK429" s="220"/>
      <c r="PL429" s="220"/>
      <c r="PM429" s="220"/>
      <c r="PN429" s="220"/>
      <c r="PO429" s="220"/>
      <c r="PP429" s="220"/>
      <c r="PQ429" s="220"/>
      <c r="PR429" s="220"/>
      <c r="PS429" s="220"/>
      <c r="PT429" s="220"/>
      <c r="PU429" s="220"/>
      <c r="PV429" s="220"/>
      <c r="PW429" s="220"/>
      <c r="PX429" s="220"/>
      <c r="PY429" s="220"/>
      <c r="PZ429" s="220"/>
      <c r="QA429" s="220"/>
      <c r="QB429" s="220"/>
      <c r="QC429" s="220"/>
      <c r="QD429" s="220"/>
      <c r="QE429" s="220"/>
      <c r="QF429" s="220"/>
      <c r="QG429" s="220"/>
      <c r="QH429" s="220"/>
      <c r="QI429" s="220"/>
      <c r="QJ429" s="220"/>
      <c r="QK429" s="220"/>
      <c r="QL429" s="220"/>
      <c r="QM429" s="220"/>
      <c r="QN429" s="220"/>
      <c r="QO429" s="220"/>
      <c r="QP429" s="220"/>
      <c r="QQ429" s="220"/>
      <c r="QR429" s="220"/>
      <c r="QS429" s="220"/>
      <c r="QT429" s="220"/>
      <c r="QU429" s="220"/>
      <c r="QV429" s="220"/>
      <c r="QW429" s="220"/>
      <c r="QX429" s="220"/>
      <c r="QY429" s="220"/>
      <c r="QZ429" s="220"/>
      <c r="RA429" s="220"/>
      <c r="RB429" s="220"/>
      <c r="RC429" s="220"/>
      <c r="RD429" s="220"/>
      <c r="RE429" s="220"/>
      <c r="RF429" s="220"/>
      <c r="RG429" s="220"/>
      <c r="RH429" s="220"/>
      <c r="RI429" s="220"/>
      <c r="RJ429" s="220"/>
      <c r="RK429" s="220"/>
      <c r="RL429" s="220"/>
      <c r="RM429" s="220"/>
      <c r="RN429" s="220"/>
      <c r="RO429" s="220"/>
      <c r="RP429" s="220"/>
      <c r="RQ429" s="220"/>
      <c r="RR429" s="220"/>
      <c r="RS429" s="220"/>
      <c r="RT429" s="220"/>
      <c r="RU429" s="220"/>
      <c r="RV429" s="220"/>
      <c r="RW429" s="220"/>
      <c r="RX429" s="220"/>
      <c r="RY429" s="220"/>
      <c r="RZ429" s="220"/>
      <c r="SA429" s="220"/>
      <c r="SB429" s="220"/>
      <c r="SC429" s="220"/>
      <c r="SD429" s="220"/>
      <c r="SE429" s="220"/>
      <c r="SF429" s="220"/>
      <c r="SG429" s="220"/>
      <c r="SH429" s="220"/>
      <c r="SI429" s="220"/>
      <c r="SJ429" s="220"/>
      <c r="SK429" s="220"/>
      <c r="SL429" s="220"/>
      <c r="SM429" s="220"/>
      <c r="SN429" s="220"/>
      <c r="SO429" s="220"/>
      <c r="SP429" s="220"/>
      <c r="SQ429" s="220"/>
      <c r="SR429" s="220"/>
      <c r="SS429" s="220"/>
      <c r="ST429" s="220"/>
      <c r="SU429" s="220"/>
      <c r="SV429" s="220"/>
      <c r="SW429" s="220"/>
      <c r="SX429" s="220"/>
      <c r="SY429" s="220"/>
      <c r="SZ429" s="220"/>
      <c r="TA429" s="220"/>
      <c r="TB429" s="220"/>
      <c r="TC429" s="220"/>
      <c r="TD429" s="220"/>
      <c r="TE429" s="220"/>
      <c r="TF429" s="220"/>
      <c r="TG429" s="220"/>
      <c r="TH429" s="220"/>
      <c r="TI429" s="220"/>
      <c r="TJ429" s="220"/>
      <c r="TK429" s="220"/>
      <c r="TL429" s="220"/>
      <c r="TM429" s="220"/>
      <c r="TN429" s="220"/>
      <c r="TO429" s="220"/>
      <c r="TP429" s="220"/>
      <c r="TQ429" s="220"/>
      <c r="TR429" s="220"/>
      <c r="TS429" s="220"/>
      <c r="TT429" s="220"/>
      <c r="TU429" s="220"/>
      <c r="TV429" s="220"/>
      <c r="TW429" s="220"/>
      <c r="TX429" s="220"/>
      <c r="TY429" s="220"/>
      <c r="TZ429" s="220"/>
      <c r="UA429" s="220"/>
      <c r="UB429" s="220"/>
      <c r="UC429" s="220"/>
      <c r="UD429" s="220"/>
      <c r="UE429" s="220"/>
      <c r="UF429" s="220"/>
      <c r="UG429" s="220"/>
      <c r="UH429" s="220"/>
      <c r="UI429" s="220"/>
      <c r="UJ429" s="220"/>
      <c r="UK429" s="220"/>
      <c r="UL429" s="220"/>
      <c r="UM429" s="220"/>
      <c r="UN429" s="220"/>
      <c r="UO429" s="220"/>
      <c r="UP429" s="220"/>
      <c r="UQ429" s="220"/>
      <c r="UR429" s="220"/>
      <c r="US429" s="220"/>
      <c r="UT429" s="220"/>
      <c r="UU429" s="220"/>
      <c r="UV429" s="220"/>
      <c r="UW429" s="220"/>
      <c r="UX429" s="220"/>
      <c r="UY429" s="220"/>
      <c r="UZ429" s="220"/>
      <c r="VA429" s="220"/>
      <c r="VB429" s="220"/>
      <c r="VC429" s="220"/>
      <c r="VD429" s="220"/>
      <c r="VE429" s="220"/>
      <c r="VF429" s="220"/>
      <c r="VG429" s="220"/>
      <c r="VH429" s="220"/>
      <c r="VI429" s="220"/>
      <c r="VJ429" s="220"/>
      <c r="VK429" s="220"/>
      <c r="VL429" s="220"/>
      <c r="VM429" s="220"/>
      <c r="VN429" s="220"/>
      <c r="VO429" s="220"/>
      <c r="VP429" s="220"/>
      <c r="VQ429" s="220"/>
      <c r="VR429" s="220"/>
      <c r="VS429" s="220"/>
      <c r="VT429" s="220"/>
      <c r="VU429" s="220"/>
      <c r="VV429" s="220"/>
      <c r="VW429" s="220"/>
      <c r="VX429" s="220"/>
      <c r="VY429" s="220"/>
      <c r="VZ429" s="220"/>
      <c r="WA429" s="220"/>
      <c r="WB429" s="220"/>
      <c r="WC429" s="220"/>
      <c r="WD429" s="220"/>
      <c r="WE429" s="220"/>
      <c r="WF429" s="220"/>
      <c r="WG429" s="220"/>
      <c r="WH429" s="220"/>
      <c r="WI429" s="220"/>
      <c r="WJ429" s="220"/>
      <c r="WK429" s="220"/>
      <c r="WL429" s="220"/>
      <c r="WM429" s="220"/>
      <c r="WN429" s="220"/>
      <c r="WO429" s="220"/>
      <c r="WP429" s="220"/>
      <c r="WQ429" s="220"/>
      <c r="WR429" s="220"/>
      <c r="WS429" s="220"/>
      <c r="WT429" s="220"/>
      <c r="WU429" s="220"/>
      <c r="WV429" s="220"/>
      <c r="WW429" s="220"/>
      <c r="WX429" s="220"/>
      <c r="WY429" s="220"/>
      <c r="WZ429" s="220"/>
      <c r="XA429" s="220"/>
      <c r="XB429" s="220"/>
      <c r="XC429" s="220"/>
      <c r="XD429" s="220"/>
      <c r="XE429" s="220"/>
      <c r="XF429" s="220"/>
      <c r="XG429" s="220"/>
      <c r="XH429" s="220"/>
      <c r="XI429" s="220"/>
      <c r="XJ429" s="220"/>
      <c r="XK429" s="220"/>
      <c r="XL429" s="220"/>
      <c r="XM429" s="220"/>
      <c r="XN429" s="220"/>
      <c r="XO429" s="220"/>
      <c r="XP429" s="220"/>
      <c r="XQ429" s="220"/>
      <c r="XR429" s="220"/>
      <c r="XS429" s="220"/>
      <c r="XT429" s="220"/>
      <c r="XU429" s="220"/>
      <c r="XV429" s="220"/>
      <c r="XW429" s="220"/>
      <c r="XX429" s="220"/>
      <c r="XY429" s="220"/>
      <c r="XZ429" s="220"/>
      <c r="YA429" s="220"/>
      <c r="YB429" s="220"/>
      <c r="YC429" s="220"/>
      <c r="YD429" s="220"/>
      <c r="YE429" s="220"/>
      <c r="YF429" s="220"/>
      <c r="YG429" s="220"/>
      <c r="YH429" s="220"/>
      <c r="YI429" s="220"/>
      <c r="YJ429" s="220"/>
      <c r="YK429" s="220"/>
      <c r="YL429" s="220"/>
      <c r="YM429" s="220"/>
      <c r="YN429" s="220"/>
      <c r="YO429" s="220"/>
      <c r="YP429" s="220"/>
      <c r="YQ429" s="220"/>
      <c r="YR429" s="220"/>
      <c r="YS429" s="220"/>
      <c r="YT429" s="220"/>
      <c r="YU429" s="220"/>
      <c r="YV429" s="220"/>
      <c r="YW429" s="220"/>
      <c r="YX429" s="220"/>
      <c r="YY429" s="220"/>
      <c r="YZ429" s="220"/>
      <c r="ZA429" s="220"/>
      <c r="ZB429" s="220"/>
      <c r="ZC429" s="220"/>
      <c r="ZD429" s="220"/>
      <c r="ZE429" s="220"/>
      <c r="ZF429" s="220"/>
      <c r="ZG429" s="220"/>
      <c r="ZH429" s="220"/>
      <c r="ZI429" s="220"/>
      <c r="ZJ429" s="220"/>
      <c r="ZK429" s="220"/>
      <c r="ZL429" s="220"/>
      <c r="ZM429" s="220"/>
      <c r="ZN429" s="220"/>
      <c r="ZO429" s="220"/>
      <c r="ZP429" s="220"/>
      <c r="ZQ429" s="220"/>
      <c r="ZR429" s="220"/>
      <c r="ZS429" s="220"/>
      <c r="ZT429" s="220"/>
      <c r="ZU429" s="220"/>
      <c r="ZV429" s="220"/>
      <c r="ZW429" s="220"/>
      <c r="ZX429" s="220"/>
      <c r="ZY429" s="220"/>
      <c r="ZZ429" s="220"/>
      <c r="AAA429" s="220"/>
      <c r="AAB429" s="220"/>
      <c r="AAC429" s="220"/>
      <c r="AAD429" s="220"/>
      <c r="AAE429" s="220"/>
      <c r="AAF429" s="220"/>
      <c r="AAG429" s="220"/>
      <c r="AAH429" s="220"/>
      <c r="AAI429" s="220"/>
      <c r="AAJ429" s="220"/>
      <c r="AAK429" s="220"/>
      <c r="AAL429" s="220"/>
      <c r="AAM429" s="220"/>
      <c r="AAN429" s="220"/>
      <c r="AAO429" s="220"/>
      <c r="AAP429" s="220"/>
      <c r="AAQ429" s="220"/>
      <c r="AAR429" s="220"/>
      <c r="AAS429" s="220"/>
      <c r="AAT429" s="220"/>
      <c r="AAU429" s="220"/>
      <c r="AAV429" s="220"/>
      <c r="AAW429" s="220"/>
      <c r="AAX429" s="220"/>
      <c r="AAY429" s="220"/>
      <c r="AAZ429" s="220"/>
      <c r="ABA429" s="220"/>
      <c r="ABB429" s="220"/>
      <c r="ABC429" s="220"/>
      <c r="ABD429" s="220"/>
      <c r="ABE429" s="220"/>
      <c r="ABF429" s="220"/>
      <c r="ABG429" s="220"/>
    </row>
    <row r="430" spans="1:735" s="246" customFormat="1" ht="30" customHeight="1" x14ac:dyDescent="0.2">
      <c r="A430" s="180">
        <v>6223</v>
      </c>
      <c r="B430" s="135" t="s">
        <v>330</v>
      </c>
      <c r="C430" s="136">
        <v>515000</v>
      </c>
      <c r="D430" s="136">
        <v>515000</v>
      </c>
      <c r="E430" s="121"/>
      <c r="F430" s="130"/>
      <c r="G430" s="120"/>
      <c r="H430" s="120"/>
      <c r="I430" s="120"/>
      <c r="J430" s="129"/>
      <c r="K430" s="220"/>
      <c r="L430" s="220"/>
      <c r="M430" s="220"/>
      <c r="N430" s="220"/>
      <c r="O430" s="220"/>
      <c r="P430" s="220"/>
      <c r="Q430" s="220"/>
      <c r="R430" s="220"/>
      <c r="S430" s="220"/>
      <c r="T430" s="220"/>
      <c r="U430" s="220"/>
      <c r="V430" s="220"/>
      <c r="W430" s="220"/>
      <c r="X430" s="220"/>
      <c r="Y430" s="220"/>
      <c r="Z430" s="220"/>
      <c r="AA430" s="220"/>
      <c r="AB430" s="220"/>
      <c r="AC430" s="220"/>
      <c r="AD430" s="220"/>
      <c r="AE430" s="220"/>
      <c r="AF430" s="220"/>
      <c r="AG430" s="220"/>
      <c r="AH430" s="220"/>
      <c r="AI430" s="220"/>
      <c r="AJ430" s="220"/>
      <c r="AK430" s="220"/>
      <c r="AL430" s="220"/>
      <c r="AM430" s="220"/>
      <c r="AN430" s="220"/>
      <c r="AO430" s="220"/>
      <c r="AP430" s="220"/>
      <c r="AQ430" s="220"/>
      <c r="AR430" s="220"/>
      <c r="AS430" s="220"/>
      <c r="AT430" s="220"/>
      <c r="AU430" s="220"/>
      <c r="AV430" s="220"/>
      <c r="AW430" s="220"/>
      <c r="AX430" s="220"/>
      <c r="AY430" s="220"/>
      <c r="AZ430" s="220"/>
      <c r="BA430" s="220"/>
      <c r="BB430" s="220"/>
      <c r="BC430" s="220"/>
      <c r="BD430" s="220"/>
      <c r="BE430" s="220"/>
      <c r="BF430" s="220"/>
      <c r="BG430" s="220"/>
      <c r="BH430" s="220"/>
      <c r="BI430" s="220"/>
      <c r="BJ430" s="220"/>
      <c r="BK430" s="220"/>
      <c r="BL430" s="220"/>
      <c r="BM430" s="220"/>
      <c r="BN430" s="220"/>
      <c r="BO430" s="220"/>
      <c r="BP430" s="220"/>
      <c r="BQ430" s="220"/>
      <c r="BR430" s="220"/>
      <c r="BS430" s="220"/>
      <c r="BT430" s="220"/>
      <c r="BU430" s="220"/>
      <c r="BV430" s="220"/>
      <c r="BW430" s="220"/>
      <c r="BX430" s="220"/>
      <c r="BY430" s="220"/>
      <c r="BZ430" s="220"/>
      <c r="CA430" s="220"/>
      <c r="CB430" s="220"/>
      <c r="CC430" s="220"/>
      <c r="CD430" s="220"/>
      <c r="CE430" s="220"/>
      <c r="CF430" s="220"/>
      <c r="CG430" s="220"/>
      <c r="CH430" s="220"/>
      <c r="CI430" s="220"/>
      <c r="CJ430" s="220"/>
      <c r="CK430" s="220"/>
      <c r="CL430" s="220"/>
      <c r="CM430" s="220"/>
      <c r="CN430" s="220"/>
      <c r="CO430" s="220"/>
      <c r="CP430" s="220"/>
      <c r="CQ430" s="220"/>
      <c r="CR430" s="220"/>
      <c r="CS430" s="220"/>
      <c r="CT430" s="220"/>
      <c r="CU430" s="220"/>
      <c r="CV430" s="220"/>
      <c r="CW430" s="220"/>
      <c r="CX430" s="220"/>
      <c r="CY430" s="220"/>
      <c r="CZ430" s="220"/>
      <c r="DA430" s="220"/>
      <c r="DB430" s="220"/>
      <c r="DC430" s="220"/>
      <c r="DD430" s="220"/>
      <c r="DE430" s="220"/>
      <c r="DF430" s="220"/>
      <c r="DG430" s="220"/>
      <c r="DH430" s="220"/>
      <c r="DI430" s="220"/>
      <c r="DJ430" s="220"/>
      <c r="DK430" s="220"/>
      <c r="DL430" s="220"/>
      <c r="DM430" s="220"/>
      <c r="DN430" s="220"/>
      <c r="DO430" s="220"/>
      <c r="DP430" s="220"/>
      <c r="DQ430" s="220"/>
      <c r="DR430" s="220"/>
      <c r="DS430" s="220"/>
      <c r="DT430" s="220"/>
      <c r="DU430" s="220"/>
      <c r="DV430" s="220"/>
      <c r="DW430" s="220"/>
      <c r="DX430" s="220"/>
      <c r="DY430" s="220"/>
      <c r="DZ430" s="220"/>
      <c r="EA430" s="220"/>
      <c r="EB430" s="220"/>
      <c r="EC430" s="220"/>
      <c r="ED430" s="220"/>
      <c r="EE430" s="220"/>
      <c r="EF430" s="220"/>
      <c r="EG430" s="220"/>
      <c r="EH430" s="220"/>
      <c r="EI430" s="220"/>
      <c r="EJ430" s="220"/>
      <c r="EK430" s="220"/>
      <c r="EL430" s="220"/>
      <c r="EM430" s="220"/>
      <c r="EN430" s="220"/>
      <c r="EO430" s="220"/>
      <c r="EP430" s="220"/>
      <c r="EQ430" s="220"/>
      <c r="ER430" s="220"/>
      <c r="ES430" s="220"/>
      <c r="ET430" s="220"/>
      <c r="EU430" s="220"/>
      <c r="EV430" s="220"/>
      <c r="EW430" s="220"/>
      <c r="EX430" s="220"/>
      <c r="EY430" s="220"/>
      <c r="EZ430" s="220"/>
      <c r="FA430" s="220"/>
      <c r="FB430" s="220"/>
      <c r="FC430" s="220"/>
      <c r="FD430" s="220"/>
      <c r="FE430" s="220"/>
      <c r="FF430" s="220"/>
      <c r="FG430" s="220"/>
      <c r="FH430" s="220"/>
      <c r="FI430" s="220"/>
      <c r="FJ430" s="220"/>
      <c r="FK430" s="220"/>
      <c r="FL430" s="220"/>
      <c r="FM430" s="220"/>
      <c r="FN430" s="220"/>
      <c r="FO430" s="220"/>
      <c r="FP430" s="220"/>
      <c r="FQ430" s="220"/>
      <c r="FR430" s="220"/>
      <c r="FS430" s="220"/>
      <c r="FT430" s="220"/>
      <c r="FU430" s="220"/>
      <c r="FV430" s="220"/>
      <c r="FW430" s="220"/>
      <c r="FX430" s="220"/>
      <c r="FY430" s="220"/>
      <c r="FZ430" s="220"/>
      <c r="GA430" s="220"/>
      <c r="GB430" s="220"/>
      <c r="GC430" s="220"/>
      <c r="GD430" s="220"/>
      <c r="GE430" s="220"/>
      <c r="GF430" s="220"/>
      <c r="GG430" s="220"/>
      <c r="GH430" s="220"/>
      <c r="GI430" s="220"/>
      <c r="GJ430" s="220"/>
      <c r="GK430" s="220"/>
      <c r="GL430" s="220"/>
      <c r="GM430" s="220"/>
      <c r="GN430" s="220"/>
      <c r="GO430" s="220"/>
      <c r="GP430" s="220"/>
      <c r="GQ430" s="220"/>
      <c r="GR430" s="220"/>
      <c r="GS430" s="220"/>
      <c r="GT430" s="220"/>
      <c r="GU430" s="220"/>
      <c r="GV430" s="220"/>
      <c r="GW430" s="220"/>
      <c r="GX430" s="220"/>
      <c r="GY430" s="220"/>
      <c r="GZ430" s="220"/>
      <c r="HA430" s="220"/>
      <c r="HB430" s="220"/>
      <c r="HC430" s="220"/>
      <c r="HD430" s="220"/>
      <c r="HE430" s="220"/>
      <c r="HF430" s="220"/>
      <c r="HG430" s="220"/>
      <c r="HH430" s="220"/>
      <c r="HI430" s="220"/>
      <c r="HJ430" s="220"/>
      <c r="HK430" s="220"/>
      <c r="HL430" s="220"/>
      <c r="HM430" s="220"/>
      <c r="HN430" s="220"/>
      <c r="HO430" s="220"/>
      <c r="HP430" s="220"/>
      <c r="HQ430" s="220"/>
      <c r="HR430" s="220"/>
      <c r="HS430" s="220"/>
      <c r="HT430" s="220"/>
      <c r="HU430" s="220"/>
      <c r="HV430" s="220"/>
      <c r="HW430" s="220"/>
      <c r="HX430" s="220"/>
      <c r="HY430" s="220"/>
      <c r="HZ430" s="220"/>
      <c r="IA430" s="220"/>
      <c r="IB430" s="220"/>
      <c r="IC430" s="220"/>
      <c r="ID430" s="220"/>
      <c r="IE430" s="220"/>
      <c r="IF430" s="220"/>
      <c r="IG430" s="220"/>
      <c r="IH430" s="220"/>
      <c r="II430" s="220"/>
      <c r="IJ430" s="220"/>
      <c r="IK430" s="220"/>
      <c r="IL430" s="220"/>
      <c r="IM430" s="220"/>
      <c r="IN430" s="220"/>
      <c r="IO430" s="220"/>
      <c r="IP430" s="220"/>
      <c r="IQ430" s="220"/>
      <c r="IR430" s="220"/>
      <c r="IS430" s="220"/>
      <c r="IT430" s="220"/>
      <c r="IU430" s="220"/>
      <c r="IV430" s="220"/>
      <c r="IW430" s="220"/>
      <c r="IX430" s="220"/>
      <c r="IY430" s="220"/>
      <c r="IZ430" s="220"/>
      <c r="JA430" s="220"/>
      <c r="JB430" s="220"/>
      <c r="JC430" s="220"/>
      <c r="JD430" s="220"/>
      <c r="JE430" s="220"/>
      <c r="JF430" s="220"/>
      <c r="JG430" s="220"/>
      <c r="JH430" s="220"/>
      <c r="JI430" s="220"/>
      <c r="JJ430" s="220"/>
      <c r="JK430" s="220"/>
      <c r="JL430" s="220"/>
      <c r="JM430" s="220"/>
      <c r="JN430" s="220"/>
      <c r="JO430" s="220"/>
      <c r="JP430" s="220"/>
      <c r="JQ430" s="220"/>
      <c r="JR430" s="220"/>
      <c r="JS430" s="220"/>
      <c r="JT430" s="220"/>
      <c r="JU430" s="220"/>
      <c r="JV430" s="220"/>
      <c r="JW430" s="220"/>
      <c r="JX430" s="220"/>
      <c r="JY430" s="220"/>
      <c r="JZ430" s="220"/>
      <c r="KA430" s="220"/>
      <c r="KB430" s="220"/>
      <c r="KC430" s="220"/>
      <c r="KD430" s="220"/>
      <c r="KE430" s="220"/>
      <c r="KF430" s="220"/>
      <c r="KG430" s="220"/>
      <c r="KH430" s="220"/>
      <c r="KI430" s="220"/>
      <c r="KJ430" s="220"/>
      <c r="KK430" s="220"/>
      <c r="KL430" s="220"/>
      <c r="KM430" s="220"/>
      <c r="KN430" s="220"/>
      <c r="KO430" s="220"/>
      <c r="KP430" s="220"/>
      <c r="KQ430" s="220"/>
      <c r="KR430" s="220"/>
      <c r="KS430" s="220"/>
      <c r="KT430" s="220"/>
      <c r="KU430" s="220"/>
      <c r="KV430" s="220"/>
      <c r="KW430" s="220"/>
      <c r="KX430" s="220"/>
      <c r="KY430" s="220"/>
      <c r="KZ430" s="220"/>
      <c r="LA430" s="220"/>
      <c r="LB430" s="220"/>
      <c r="LC430" s="220"/>
      <c r="LD430" s="220"/>
      <c r="LE430" s="220"/>
      <c r="LF430" s="220"/>
      <c r="LG430" s="220"/>
      <c r="LH430" s="220"/>
      <c r="LI430" s="220"/>
      <c r="LJ430" s="220"/>
      <c r="LK430" s="220"/>
      <c r="LL430" s="220"/>
      <c r="LM430" s="220"/>
      <c r="LN430" s="220"/>
      <c r="LO430" s="220"/>
      <c r="LP430" s="220"/>
      <c r="LQ430" s="220"/>
      <c r="LR430" s="220"/>
      <c r="LS430" s="220"/>
      <c r="LT430" s="220"/>
      <c r="LU430" s="220"/>
      <c r="LV430" s="220"/>
      <c r="LW430" s="220"/>
      <c r="LX430" s="220"/>
      <c r="LY430" s="220"/>
      <c r="LZ430" s="220"/>
      <c r="MA430" s="220"/>
      <c r="MB430" s="220"/>
      <c r="MC430" s="220"/>
      <c r="MD430" s="220"/>
      <c r="ME430" s="220"/>
      <c r="MF430" s="220"/>
      <c r="MG430" s="220"/>
      <c r="MH430" s="220"/>
      <c r="MI430" s="220"/>
      <c r="MJ430" s="220"/>
      <c r="MK430" s="220"/>
      <c r="ML430" s="220"/>
      <c r="MM430" s="220"/>
      <c r="MN430" s="220"/>
      <c r="MO430" s="220"/>
      <c r="MP430" s="220"/>
      <c r="MQ430" s="220"/>
      <c r="MR430" s="220"/>
      <c r="MS430" s="220"/>
      <c r="MT430" s="220"/>
      <c r="MU430" s="220"/>
      <c r="MV430" s="220"/>
      <c r="MW430" s="220"/>
      <c r="MX430" s="220"/>
      <c r="MY430" s="220"/>
      <c r="MZ430" s="220"/>
      <c r="NA430" s="220"/>
      <c r="NB430" s="220"/>
      <c r="NC430" s="220"/>
      <c r="ND430" s="220"/>
      <c r="NE430" s="220"/>
      <c r="NF430" s="220"/>
      <c r="NG430" s="220"/>
      <c r="NH430" s="220"/>
      <c r="NI430" s="220"/>
      <c r="NJ430" s="220"/>
      <c r="NK430" s="220"/>
      <c r="NL430" s="220"/>
      <c r="NM430" s="220"/>
      <c r="NN430" s="220"/>
      <c r="NO430" s="220"/>
      <c r="NP430" s="220"/>
      <c r="NQ430" s="220"/>
      <c r="NR430" s="220"/>
      <c r="NS430" s="220"/>
      <c r="NT430" s="220"/>
      <c r="NU430" s="220"/>
      <c r="NV430" s="220"/>
      <c r="NW430" s="220"/>
      <c r="NX430" s="220"/>
      <c r="NY430" s="220"/>
      <c r="NZ430" s="220"/>
      <c r="OA430" s="220"/>
      <c r="OB430" s="220"/>
      <c r="OC430" s="220"/>
      <c r="OD430" s="220"/>
      <c r="OE430" s="220"/>
      <c r="OF430" s="220"/>
      <c r="OG430" s="220"/>
      <c r="OH430" s="220"/>
      <c r="OI430" s="220"/>
      <c r="OJ430" s="220"/>
      <c r="OK430" s="220"/>
      <c r="OL430" s="220"/>
      <c r="OM430" s="220"/>
      <c r="ON430" s="220"/>
      <c r="OO430" s="220"/>
      <c r="OP430" s="220"/>
      <c r="OQ430" s="220"/>
      <c r="OR430" s="220"/>
      <c r="OS430" s="220"/>
      <c r="OT430" s="220"/>
      <c r="OU430" s="220"/>
      <c r="OV430" s="220"/>
      <c r="OW430" s="220"/>
      <c r="OX430" s="220"/>
      <c r="OY430" s="220"/>
      <c r="OZ430" s="220"/>
      <c r="PA430" s="220"/>
      <c r="PB430" s="220"/>
      <c r="PC430" s="220"/>
      <c r="PD430" s="220"/>
      <c r="PE430" s="220"/>
      <c r="PF430" s="220"/>
      <c r="PG430" s="220"/>
      <c r="PH430" s="220"/>
      <c r="PI430" s="220"/>
      <c r="PJ430" s="220"/>
      <c r="PK430" s="220"/>
      <c r="PL430" s="220"/>
      <c r="PM430" s="220"/>
      <c r="PN430" s="220"/>
      <c r="PO430" s="220"/>
      <c r="PP430" s="220"/>
      <c r="PQ430" s="220"/>
      <c r="PR430" s="220"/>
      <c r="PS430" s="220"/>
      <c r="PT430" s="220"/>
      <c r="PU430" s="220"/>
      <c r="PV430" s="220"/>
      <c r="PW430" s="220"/>
      <c r="PX430" s="220"/>
      <c r="PY430" s="220"/>
      <c r="PZ430" s="220"/>
      <c r="QA430" s="220"/>
      <c r="QB430" s="220"/>
      <c r="QC430" s="220"/>
      <c r="QD430" s="220"/>
      <c r="QE430" s="220"/>
      <c r="QF430" s="220"/>
      <c r="QG430" s="220"/>
      <c r="QH430" s="220"/>
      <c r="QI430" s="220"/>
      <c r="QJ430" s="220"/>
      <c r="QK430" s="220"/>
      <c r="QL430" s="220"/>
      <c r="QM430" s="220"/>
      <c r="QN430" s="220"/>
      <c r="QO430" s="220"/>
      <c r="QP430" s="220"/>
      <c r="QQ430" s="220"/>
      <c r="QR430" s="220"/>
      <c r="QS430" s="220"/>
      <c r="QT430" s="220"/>
      <c r="QU430" s="220"/>
      <c r="QV430" s="220"/>
      <c r="QW430" s="220"/>
      <c r="QX430" s="220"/>
      <c r="QY430" s="220"/>
      <c r="QZ430" s="220"/>
      <c r="RA430" s="220"/>
      <c r="RB430" s="220"/>
      <c r="RC430" s="220"/>
      <c r="RD430" s="220"/>
      <c r="RE430" s="220"/>
      <c r="RF430" s="220"/>
      <c r="RG430" s="220"/>
      <c r="RH430" s="220"/>
      <c r="RI430" s="220"/>
      <c r="RJ430" s="220"/>
      <c r="RK430" s="220"/>
      <c r="RL430" s="220"/>
      <c r="RM430" s="220"/>
      <c r="RN430" s="220"/>
      <c r="RO430" s="220"/>
      <c r="RP430" s="220"/>
      <c r="RQ430" s="220"/>
      <c r="RR430" s="220"/>
      <c r="RS430" s="220"/>
      <c r="RT430" s="220"/>
      <c r="RU430" s="220"/>
      <c r="RV430" s="220"/>
      <c r="RW430" s="220"/>
      <c r="RX430" s="220"/>
      <c r="RY430" s="220"/>
      <c r="RZ430" s="220"/>
      <c r="SA430" s="220"/>
      <c r="SB430" s="220"/>
      <c r="SC430" s="220"/>
      <c r="SD430" s="220"/>
      <c r="SE430" s="220"/>
      <c r="SF430" s="220"/>
      <c r="SG430" s="220"/>
      <c r="SH430" s="220"/>
      <c r="SI430" s="220"/>
      <c r="SJ430" s="220"/>
      <c r="SK430" s="220"/>
      <c r="SL430" s="220"/>
      <c r="SM430" s="220"/>
      <c r="SN430" s="220"/>
      <c r="SO430" s="220"/>
      <c r="SP430" s="220"/>
      <c r="SQ430" s="220"/>
      <c r="SR430" s="220"/>
      <c r="SS430" s="220"/>
      <c r="ST430" s="220"/>
      <c r="SU430" s="220"/>
      <c r="SV430" s="220"/>
      <c r="SW430" s="220"/>
      <c r="SX430" s="220"/>
      <c r="SY430" s="220"/>
      <c r="SZ430" s="220"/>
      <c r="TA430" s="220"/>
      <c r="TB430" s="220"/>
      <c r="TC430" s="220"/>
      <c r="TD430" s="220"/>
      <c r="TE430" s="220"/>
      <c r="TF430" s="220"/>
      <c r="TG430" s="220"/>
      <c r="TH430" s="220"/>
      <c r="TI430" s="220"/>
      <c r="TJ430" s="220"/>
      <c r="TK430" s="220"/>
      <c r="TL430" s="220"/>
      <c r="TM430" s="220"/>
      <c r="TN430" s="220"/>
      <c r="TO430" s="220"/>
      <c r="TP430" s="220"/>
      <c r="TQ430" s="220"/>
      <c r="TR430" s="220"/>
      <c r="TS430" s="220"/>
      <c r="TT430" s="220"/>
      <c r="TU430" s="220"/>
      <c r="TV430" s="220"/>
      <c r="TW430" s="220"/>
      <c r="TX430" s="220"/>
      <c r="TY430" s="220"/>
      <c r="TZ430" s="220"/>
      <c r="UA430" s="220"/>
      <c r="UB430" s="220"/>
      <c r="UC430" s="220"/>
      <c r="UD430" s="220"/>
      <c r="UE430" s="220"/>
      <c r="UF430" s="220"/>
      <c r="UG430" s="220"/>
      <c r="UH430" s="220"/>
      <c r="UI430" s="220"/>
      <c r="UJ430" s="220"/>
      <c r="UK430" s="220"/>
      <c r="UL430" s="220"/>
      <c r="UM430" s="220"/>
      <c r="UN430" s="220"/>
      <c r="UO430" s="220"/>
      <c r="UP430" s="220"/>
      <c r="UQ430" s="220"/>
      <c r="UR430" s="220"/>
      <c r="US430" s="220"/>
      <c r="UT430" s="220"/>
      <c r="UU430" s="220"/>
      <c r="UV430" s="220"/>
      <c r="UW430" s="220"/>
      <c r="UX430" s="220"/>
      <c r="UY430" s="220"/>
      <c r="UZ430" s="220"/>
      <c r="VA430" s="220"/>
      <c r="VB430" s="220"/>
      <c r="VC430" s="220"/>
      <c r="VD430" s="220"/>
      <c r="VE430" s="220"/>
      <c r="VF430" s="220"/>
      <c r="VG430" s="220"/>
      <c r="VH430" s="220"/>
      <c r="VI430" s="220"/>
      <c r="VJ430" s="220"/>
      <c r="VK430" s="220"/>
      <c r="VL430" s="220"/>
      <c r="VM430" s="220"/>
      <c r="VN430" s="220"/>
      <c r="VO430" s="220"/>
      <c r="VP430" s="220"/>
      <c r="VQ430" s="220"/>
      <c r="VR430" s="220"/>
      <c r="VS430" s="220"/>
      <c r="VT430" s="220"/>
      <c r="VU430" s="220"/>
      <c r="VV430" s="220"/>
      <c r="VW430" s="220"/>
      <c r="VX430" s="220"/>
      <c r="VY430" s="220"/>
      <c r="VZ430" s="220"/>
      <c r="WA430" s="220"/>
      <c r="WB430" s="220"/>
      <c r="WC430" s="220"/>
      <c r="WD430" s="220"/>
      <c r="WE430" s="220"/>
      <c r="WF430" s="220"/>
      <c r="WG430" s="220"/>
      <c r="WH430" s="220"/>
      <c r="WI430" s="220"/>
      <c r="WJ430" s="220"/>
      <c r="WK430" s="220"/>
      <c r="WL430" s="220"/>
      <c r="WM430" s="220"/>
      <c r="WN430" s="220"/>
      <c r="WO430" s="220"/>
      <c r="WP430" s="220"/>
      <c r="WQ430" s="220"/>
      <c r="WR430" s="220"/>
      <c r="WS430" s="220"/>
      <c r="WT430" s="220"/>
      <c r="WU430" s="220"/>
      <c r="WV430" s="220"/>
      <c r="WW430" s="220"/>
      <c r="WX430" s="220"/>
      <c r="WY430" s="220"/>
      <c r="WZ430" s="220"/>
      <c r="XA430" s="220"/>
      <c r="XB430" s="220"/>
      <c r="XC430" s="220"/>
      <c r="XD430" s="220"/>
      <c r="XE430" s="220"/>
      <c r="XF430" s="220"/>
      <c r="XG430" s="220"/>
      <c r="XH430" s="220"/>
      <c r="XI430" s="220"/>
      <c r="XJ430" s="220"/>
      <c r="XK430" s="220"/>
      <c r="XL430" s="220"/>
      <c r="XM430" s="220"/>
      <c r="XN430" s="220"/>
      <c r="XO430" s="220"/>
      <c r="XP430" s="220"/>
      <c r="XQ430" s="220"/>
      <c r="XR430" s="220"/>
      <c r="XS430" s="220"/>
      <c r="XT430" s="220"/>
      <c r="XU430" s="220"/>
      <c r="XV430" s="220"/>
      <c r="XW430" s="220"/>
      <c r="XX430" s="220"/>
      <c r="XY430" s="220"/>
      <c r="XZ430" s="220"/>
      <c r="YA430" s="220"/>
      <c r="YB430" s="220"/>
      <c r="YC430" s="220"/>
      <c r="YD430" s="220"/>
      <c r="YE430" s="220"/>
      <c r="YF430" s="220"/>
      <c r="YG430" s="220"/>
      <c r="YH430" s="220"/>
      <c r="YI430" s="220"/>
      <c r="YJ430" s="220"/>
      <c r="YK430" s="220"/>
      <c r="YL430" s="220"/>
      <c r="YM430" s="220"/>
      <c r="YN430" s="220"/>
      <c r="YO430" s="220"/>
      <c r="YP430" s="220"/>
      <c r="YQ430" s="220"/>
      <c r="YR430" s="220"/>
      <c r="YS430" s="220"/>
      <c r="YT430" s="220"/>
      <c r="YU430" s="220"/>
      <c r="YV430" s="220"/>
      <c r="YW430" s="220"/>
      <c r="YX430" s="220"/>
      <c r="YY430" s="220"/>
      <c r="YZ430" s="220"/>
      <c r="ZA430" s="220"/>
      <c r="ZB430" s="220"/>
      <c r="ZC430" s="220"/>
      <c r="ZD430" s="220"/>
      <c r="ZE430" s="220"/>
      <c r="ZF430" s="220"/>
      <c r="ZG430" s="220"/>
      <c r="ZH430" s="220"/>
      <c r="ZI430" s="220"/>
      <c r="ZJ430" s="220"/>
      <c r="ZK430" s="220"/>
      <c r="ZL430" s="220"/>
      <c r="ZM430" s="220"/>
      <c r="ZN430" s="220"/>
      <c r="ZO430" s="220"/>
      <c r="ZP430" s="220"/>
      <c r="ZQ430" s="220"/>
      <c r="ZR430" s="220"/>
      <c r="ZS430" s="220"/>
      <c r="ZT430" s="220"/>
      <c r="ZU430" s="220"/>
      <c r="ZV430" s="220"/>
      <c r="ZW430" s="220"/>
      <c r="ZX430" s="220"/>
      <c r="ZY430" s="220"/>
      <c r="ZZ430" s="220"/>
      <c r="AAA430" s="220"/>
      <c r="AAB430" s="220"/>
      <c r="AAC430" s="220"/>
      <c r="AAD430" s="220"/>
      <c r="AAE430" s="220"/>
      <c r="AAF430" s="220"/>
      <c r="AAG430" s="220"/>
      <c r="AAH430" s="220"/>
      <c r="AAI430" s="220"/>
      <c r="AAJ430" s="220"/>
      <c r="AAK430" s="220"/>
      <c r="AAL430" s="220"/>
      <c r="AAM430" s="220"/>
      <c r="AAN430" s="220"/>
      <c r="AAO430" s="220"/>
      <c r="AAP430" s="220"/>
      <c r="AAQ430" s="220"/>
      <c r="AAR430" s="220"/>
      <c r="AAS430" s="220"/>
      <c r="AAT430" s="220"/>
      <c r="AAU430" s="220"/>
      <c r="AAV430" s="220"/>
      <c r="AAW430" s="220"/>
      <c r="AAX430" s="220"/>
      <c r="AAY430" s="220"/>
      <c r="AAZ430" s="220"/>
      <c r="ABA430" s="220"/>
      <c r="ABB430" s="220"/>
      <c r="ABC430" s="220"/>
      <c r="ABD430" s="220"/>
      <c r="ABE430" s="220"/>
      <c r="ABF430" s="220"/>
      <c r="ABG430" s="220"/>
    </row>
    <row r="431" spans="1:735" s="220" customFormat="1" ht="30" customHeight="1" thickBot="1" x14ac:dyDescent="0.25">
      <c r="A431" s="245"/>
      <c r="B431" s="168"/>
      <c r="C431" s="117"/>
      <c r="D431" s="117"/>
      <c r="E431" s="117"/>
      <c r="F431" s="117"/>
      <c r="G431" s="151"/>
      <c r="H431" s="151"/>
      <c r="I431" s="151"/>
      <c r="J431" s="129"/>
    </row>
    <row r="432" spans="1:735" s="3" customFormat="1" ht="30" customHeight="1" thickBot="1" x14ac:dyDescent="0.25">
      <c r="A432" s="244"/>
      <c r="B432" s="243" t="s">
        <v>329</v>
      </c>
      <c r="C432" s="242">
        <f>SUM(C433,C435)</f>
        <v>7038417</v>
      </c>
      <c r="D432" s="242">
        <f>SUM(D433,D435)</f>
        <v>6888417</v>
      </c>
      <c r="E432" s="181"/>
      <c r="F432" s="181"/>
      <c r="G432" s="571"/>
      <c r="H432" s="181"/>
      <c r="I432" s="181"/>
      <c r="J432" s="129"/>
      <c r="K432" s="220"/>
      <c r="L432" s="220"/>
      <c r="M432" s="220"/>
      <c r="N432" s="220"/>
      <c r="O432" s="220"/>
      <c r="P432" s="220"/>
      <c r="Q432" s="220"/>
      <c r="R432" s="220"/>
      <c r="S432" s="220"/>
      <c r="T432" s="220"/>
      <c r="U432" s="220"/>
      <c r="V432" s="220"/>
      <c r="W432" s="220"/>
      <c r="X432" s="220"/>
      <c r="Y432" s="220"/>
      <c r="Z432" s="220"/>
      <c r="AA432" s="220"/>
      <c r="AB432" s="220"/>
      <c r="AC432" s="220"/>
      <c r="AD432" s="220"/>
      <c r="AE432" s="220"/>
      <c r="AF432" s="220"/>
      <c r="AG432" s="220"/>
      <c r="AH432" s="220"/>
      <c r="AI432" s="220"/>
      <c r="AJ432" s="220"/>
      <c r="AK432" s="220"/>
      <c r="AL432" s="220"/>
      <c r="AM432" s="220"/>
      <c r="AN432" s="220"/>
      <c r="AO432" s="220"/>
      <c r="AP432" s="220"/>
      <c r="AQ432" s="220"/>
      <c r="AR432" s="220"/>
      <c r="AS432" s="220"/>
      <c r="AT432" s="220"/>
      <c r="AU432" s="220"/>
      <c r="AV432" s="220"/>
      <c r="AW432" s="220"/>
      <c r="AX432" s="220"/>
      <c r="AY432" s="220"/>
      <c r="AZ432" s="220"/>
      <c r="BA432" s="220"/>
      <c r="BB432" s="220"/>
      <c r="BC432" s="220"/>
      <c r="BD432" s="220"/>
      <c r="BE432" s="220"/>
      <c r="BF432" s="220"/>
      <c r="BG432" s="220"/>
      <c r="BH432" s="220"/>
      <c r="BI432" s="220"/>
      <c r="BJ432" s="220"/>
      <c r="BK432" s="220"/>
      <c r="BL432" s="220"/>
      <c r="BM432" s="220"/>
      <c r="BN432" s="220"/>
      <c r="BO432" s="220"/>
      <c r="BP432" s="220"/>
      <c r="BQ432" s="220"/>
      <c r="BR432" s="220"/>
      <c r="BS432" s="220"/>
      <c r="BT432" s="220"/>
      <c r="BU432" s="220"/>
      <c r="BV432" s="220"/>
      <c r="BW432" s="220"/>
      <c r="BX432" s="220"/>
      <c r="BY432" s="220"/>
      <c r="BZ432" s="220"/>
      <c r="CA432" s="220"/>
      <c r="CB432" s="220"/>
      <c r="CC432" s="220"/>
      <c r="CD432" s="220"/>
      <c r="CE432" s="220"/>
      <c r="CF432" s="220"/>
      <c r="CG432" s="220"/>
      <c r="CH432" s="220"/>
      <c r="CI432" s="220"/>
      <c r="CJ432" s="220"/>
      <c r="CK432" s="220"/>
      <c r="CL432" s="220"/>
      <c r="CM432" s="220"/>
      <c r="CN432" s="220"/>
      <c r="CO432" s="220"/>
      <c r="CP432" s="220"/>
      <c r="CQ432" s="220"/>
      <c r="CR432" s="220"/>
      <c r="CS432" s="220"/>
      <c r="CT432" s="220"/>
      <c r="CU432" s="220"/>
      <c r="CV432" s="220"/>
      <c r="CW432" s="220"/>
      <c r="CX432" s="220"/>
      <c r="CY432" s="220"/>
      <c r="CZ432" s="220"/>
      <c r="DA432" s="220"/>
      <c r="DB432" s="220"/>
      <c r="DC432" s="220"/>
      <c r="DD432" s="220"/>
      <c r="DE432" s="220"/>
      <c r="DF432" s="220"/>
      <c r="DG432" s="220"/>
      <c r="DH432" s="220"/>
      <c r="DI432" s="220"/>
      <c r="DJ432" s="220"/>
      <c r="DK432" s="220"/>
      <c r="DL432" s="220"/>
      <c r="DM432" s="220"/>
      <c r="DN432" s="220"/>
      <c r="DO432" s="220"/>
      <c r="DP432" s="220"/>
      <c r="DQ432" s="220"/>
      <c r="DR432" s="220"/>
      <c r="DS432" s="220"/>
      <c r="DT432" s="220"/>
      <c r="DU432" s="220"/>
      <c r="DV432" s="220"/>
      <c r="DW432" s="220"/>
      <c r="DX432" s="220"/>
      <c r="DY432" s="220"/>
      <c r="DZ432" s="220"/>
      <c r="EA432" s="220"/>
      <c r="EB432" s="220"/>
      <c r="EC432" s="220"/>
      <c r="ED432" s="220"/>
      <c r="EE432" s="220"/>
      <c r="EF432" s="220"/>
      <c r="EG432" s="220"/>
      <c r="EH432" s="220"/>
      <c r="EI432" s="220"/>
      <c r="EJ432" s="220"/>
      <c r="EK432" s="220"/>
      <c r="EL432" s="220"/>
      <c r="EM432" s="220"/>
      <c r="EN432" s="220"/>
      <c r="EO432" s="220"/>
      <c r="EP432" s="220"/>
      <c r="EQ432" s="220"/>
      <c r="ER432" s="220"/>
      <c r="ES432" s="220"/>
      <c r="ET432" s="220"/>
      <c r="EU432" s="220"/>
      <c r="EV432" s="220"/>
      <c r="EW432" s="220"/>
      <c r="EX432" s="220"/>
      <c r="EY432" s="220"/>
      <c r="EZ432" s="220"/>
      <c r="FA432" s="220"/>
      <c r="FB432" s="220"/>
      <c r="FC432" s="220"/>
      <c r="FD432" s="220"/>
      <c r="FE432" s="220"/>
      <c r="FF432" s="220"/>
      <c r="FG432" s="220"/>
      <c r="FH432" s="220"/>
      <c r="FI432" s="220"/>
      <c r="FJ432" s="220"/>
      <c r="FK432" s="220"/>
      <c r="FL432" s="220"/>
      <c r="FM432" s="220"/>
      <c r="FN432" s="220"/>
      <c r="FO432" s="220"/>
      <c r="FP432" s="220"/>
      <c r="FQ432" s="220"/>
      <c r="FR432" s="220"/>
      <c r="FS432" s="220"/>
      <c r="FT432" s="220"/>
      <c r="FU432" s="220"/>
      <c r="FV432" s="220"/>
      <c r="FW432" s="220"/>
      <c r="FX432" s="220"/>
      <c r="FY432" s="220"/>
      <c r="FZ432" s="220"/>
      <c r="GA432" s="220"/>
      <c r="GB432" s="220"/>
      <c r="GC432" s="220"/>
      <c r="GD432" s="220"/>
      <c r="GE432" s="220"/>
      <c r="GF432" s="220"/>
      <c r="GG432" s="220"/>
      <c r="GH432" s="220"/>
      <c r="GI432" s="220"/>
      <c r="GJ432" s="220"/>
      <c r="GK432" s="220"/>
      <c r="GL432" s="220"/>
      <c r="GM432" s="220"/>
      <c r="GN432" s="220"/>
      <c r="GO432" s="220"/>
      <c r="GP432" s="220"/>
      <c r="GQ432" s="220"/>
      <c r="GR432" s="220"/>
      <c r="GS432" s="220"/>
      <c r="GT432" s="220"/>
      <c r="GU432" s="220"/>
      <c r="GV432" s="220"/>
      <c r="GW432" s="220"/>
      <c r="GX432" s="220"/>
      <c r="GY432" s="220"/>
      <c r="GZ432" s="220"/>
      <c r="HA432" s="220"/>
      <c r="HB432" s="220"/>
      <c r="HC432" s="220"/>
      <c r="HD432" s="220"/>
      <c r="HE432" s="220"/>
      <c r="HF432" s="220"/>
      <c r="HG432" s="220"/>
      <c r="HH432" s="220"/>
      <c r="HI432" s="220"/>
      <c r="HJ432" s="220"/>
      <c r="HK432" s="220"/>
      <c r="HL432" s="220"/>
      <c r="HM432" s="220"/>
      <c r="HN432" s="220"/>
      <c r="HO432" s="220"/>
      <c r="HP432" s="220"/>
      <c r="HQ432" s="220"/>
      <c r="HR432" s="220"/>
      <c r="HS432" s="220"/>
      <c r="HT432" s="220"/>
      <c r="HU432" s="220"/>
      <c r="HV432" s="220"/>
      <c r="HW432" s="220"/>
      <c r="HX432" s="220"/>
      <c r="HY432" s="220"/>
      <c r="HZ432" s="220"/>
      <c r="IA432" s="220"/>
      <c r="IB432" s="220"/>
      <c r="IC432" s="220"/>
      <c r="ID432" s="220"/>
      <c r="IE432" s="220"/>
      <c r="IF432" s="220"/>
      <c r="IG432" s="220"/>
      <c r="IH432" s="220"/>
      <c r="II432" s="220"/>
      <c r="IJ432" s="220"/>
      <c r="IK432" s="220"/>
      <c r="IL432" s="220"/>
      <c r="IM432" s="220"/>
      <c r="IN432" s="220"/>
      <c r="IO432" s="220"/>
      <c r="IP432" s="220"/>
      <c r="IQ432" s="220"/>
      <c r="IR432" s="220"/>
      <c r="IS432" s="220"/>
      <c r="IT432" s="220"/>
      <c r="IU432" s="220"/>
      <c r="IV432" s="220"/>
      <c r="IW432" s="220"/>
      <c r="IX432" s="220"/>
      <c r="IY432" s="220"/>
      <c r="IZ432" s="220"/>
      <c r="JA432" s="220"/>
      <c r="JB432" s="220"/>
      <c r="JC432" s="220"/>
      <c r="JD432" s="220"/>
      <c r="JE432" s="220"/>
      <c r="JF432" s="220"/>
      <c r="JG432" s="220"/>
      <c r="JH432" s="220"/>
      <c r="JI432" s="220"/>
      <c r="JJ432" s="220"/>
      <c r="JK432" s="220"/>
      <c r="JL432" s="220"/>
      <c r="JM432" s="220"/>
      <c r="JN432" s="220"/>
      <c r="JO432" s="220"/>
      <c r="JP432" s="220"/>
      <c r="JQ432" s="220"/>
      <c r="JR432" s="220"/>
      <c r="JS432" s="220"/>
      <c r="JT432" s="220"/>
      <c r="JU432" s="220"/>
      <c r="JV432" s="220"/>
      <c r="JW432" s="220"/>
      <c r="JX432" s="220"/>
      <c r="JY432" s="220"/>
      <c r="JZ432" s="220"/>
      <c r="KA432" s="220"/>
      <c r="KB432" s="220"/>
      <c r="KC432" s="220"/>
      <c r="KD432" s="220"/>
      <c r="KE432" s="220"/>
      <c r="KF432" s="220"/>
      <c r="KG432" s="220"/>
      <c r="KH432" s="220"/>
      <c r="KI432" s="220"/>
      <c r="KJ432" s="220"/>
      <c r="KK432" s="220"/>
      <c r="KL432" s="220"/>
      <c r="KM432" s="220"/>
      <c r="KN432" s="220"/>
      <c r="KO432" s="220"/>
      <c r="KP432" s="220"/>
      <c r="KQ432" s="220"/>
      <c r="KR432" s="220"/>
      <c r="KS432" s="220"/>
      <c r="KT432" s="220"/>
      <c r="KU432" s="220"/>
      <c r="KV432" s="220"/>
      <c r="KW432" s="220"/>
      <c r="KX432" s="220"/>
      <c r="KY432" s="220"/>
      <c r="KZ432" s="220"/>
      <c r="LA432" s="220"/>
      <c r="LB432" s="220"/>
      <c r="LC432" s="220"/>
      <c r="LD432" s="220"/>
      <c r="LE432" s="220"/>
      <c r="LF432" s="220"/>
      <c r="LG432" s="220"/>
      <c r="LH432" s="220"/>
      <c r="LI432" s="220"/>
      <c r="LJ432" s="220"/>
      <c r="LK432" s="220"/>
      <c r="LL432" s="220"/>
      <c r="LM432" s="220"/>
      <c r="LN432" s="220"/>
      <c r="LO432" s="220"/>
      <c r="LP432" s="220"/>
      <c r="LQ432" s="220"/>
      <c r="LR432" s="220"/>
      <c r="LS432" s="220"/>
      <c r="LT432" s="220"/>
      <c r="LU432" s="220"/>
      <c r="LV432" s="220"/>
      <c r="LW432" s="220"/>
      <c r="LX432" s="220"/>
      <c r="LY432" s="220"/>
      <c r="LZ432" s="220"/>
      <c r="MA432" s="220"/>
      <c r="MB432" s="220"/>
      <c r="MC432" s="220"/>
      <c r="MD432" s="220"/>
      <c r="ME432" s="220"/>
      <c r="MF432" s="220"/>
      <c r="MG432" s="220"/>
      <c r="MH432" s="220"/>
      <c r="MI432" s="220"/>
      <c r="MJ432" s="220"/>
      <c r="MK432" s="220"/>
      <c r="ML432" s="220"/>
      <c r="MM432" s="220"/>
      <c r="MN432" s="220"/>
      <c r="MO432" s="220"/>
      <c r="MP432" s="220"/>
      <c r="MQ432" s="220"/>
      <c r="MR432" s="220"/>
      <c r="MS432" s="220"/>
      <c r="MT432" s="220"/>
      <c r="MU432" s="220"/>
      <c r="MV432" s="220"/>
      <c r="MW432" s="220"/>
      <c r="MX432" s="220"/>
      <c r="MY432" s="220"/>
      <c r="MZ432" s="220"/>
      <c r="NA432" s="220"/>
      <c r="NB432" s="220"/>
      <c r="NC432" s="220"/>
      <c r="ND432" s="220"/>
      <c r="NE432" s="220"/>
      <c r="NF432" s="220"/>
      <c r="NG432" s="220"/>
      <c r="NH432" s="220"/>
      <c r="NI432" s="220"/>
      <c r="NJ432" s="220"/>
      <c r="NK432" s="220"/>
      <c r="NL432" s="220"/>
      <c r="NM432" s="220"/>
      <c r="NN432" s="220"/>
      <c r="NO432" s="220"/>
      <c r="NP432" s="220"/>
      <c r="NQ432" s="220"/>
      <c r="NR432" s="220"/>
      <c r="NS432" s="220"/>
      <c r="NT432" s="220"/>
      <c r="NU432" s="220"/>
      <c r="NV432" s="220"/>
      <c r="NW432" s="220"/>
      <c r="NX432" s="220"/>
      <c r="NY432" s="220"/>
      <c r="NZ432" s="220"/>
      <c r="OA432" s="220"/>
      <c r="OB432" s="220"/>
      <c r="OC432" s="220"/>
      <c r="OD432" s="220"/>
      <c r="OE432" s="220"/>
      <c r="OF432" s="220"/>
      <c r="OG432" s="220"/>
      <c r="OH432" s="220"/>
      <c r="OI432" s="220"/>
      <c r="OJ432" s="220"/>
      <c r="OK432" s="220"/>
      <c r="OL432" s="220"/>
      <c r="OM432" s="220"/>
      <c r="ON432" s="220"/>
      <c r="OO432" s="220"/>
      <c r="OP432" s="220"/>
      <c r="OQ432" s="220"/>
      <c r="OR432" s="220"/>
      <c r="OS432" s="220"/>
      <c r="OT432" s="220"/>
      <c r="OU432" s="220"/>
      <c r="OV432" s="220"/>
      <c r="OW432" s="220"/>
      <c r="OX432" s="220"/>
      <c r="OY432" s="220"/>
      <c r="OZ432" s="220"/>
      <c r="PA432" s="220"/>
      <c r="PB432" s="220"/>
      <c r="PC432" s="220"/>
      <c r="PD432" s="220"/>
      <c r="PE432" s="220"/>
      <c r="PF432" s="220"/>
      <c r="PG432" s="220"/>
      <c r="PH432" s="220"/>
      <c r="PI432" s="220"/>
      <c r="PJ432" s="220"/>
      <c r="PK432" s="220"/>
      <c r="PL432" s="220"/>
      <c r="PM432" s="220"/>
      <c r="PN432" s="220"/>
      <c r="PO432" s="220"/>
      <c r="PP432" s="220"/>
      <c r="PQ432" s="220"/>
      <c r="PR432" s="220"/>
      <c r="PS432" s="220"/>
      <c r="PT432" s="220"/>
      <c r="PU432" s="220"/>
      <c r="PV432" s="220"/>
      <c r="PW432" s="220"/>
      <c r="PX432" s="220"/>
      <c r="PY432" s="220"/>
      <c r="PZ432" s="220"/>
      <c r="QA432" s="220"/>
      <c r="QB432" s="220"/>
      <c r="QC432" s="220"/>
      <c r="QD432" s="220"/>
      <c r="QE432" s="220"/>
      <c r="QF432" s="220"/>
      <c r="QG432" s="220"/>
      <c r="QH432" s="220"/>
      <c r="QI432" s="220"/>
      <c r="QJ432" s="220"/>
      <c r="QK432" s="220"/>
      <c r="QL432" s="220"/>
      <c r="QM432" s="220"/>
      <c r="QN432" s="220"/>
      <c r="QO432" s="220"/>
      <c r="QP432" s="220"/>
      <c r="QQ432" s="220"/>
      <c r="QR432" s="220"/>
      <c r="QS432" s="220"/>
      <c r="QT432" s="220"/>
      <c r="QU432" s="220"/>
      <c r="QV432" s="220"/>
      <c r="QW432" s="220"/>
      <c r="QX432" s="220"/>
      <c r="QY432" s="220"/>
      <c r="QZ432" s="220"/>
      <c r="RA432" s="220"/>
      <c r="RB432" s="220"/>
      <c r="RC432" s="220"/>
      <c r="RD432" s="220"/>
      <c r="RE432" s="220"/>
      <c r="RF432" s="220"/>
      <c r="RG432" s="220"/>
      <c r="RH432" s="220"/>
      <c r="RI432" s="220"/>
      <c r="RJ432" s="220"/>
      <c r="RK432" s="220"/>
      <c r="RL432" s="220"/>
      <c r="RM432" s="220"/>
      <c r="RN432" s="220"/>
      <c r="RO432" s="220"/>
      <c r="RP432" s="220"/>
      <c r="RQ432" s="220"/>
      <c r="RR432" s="220"/>
      <c r="RS432" s="220"/>
      <c r="RT432" s="220"/>
      <c r="RU432" s="220"/>
      <c r="RV432" s="220"/>
      <c r="RW432" s="220"/>
      <c r="RX432" s="220"/>
      <c r="RY432" s="220"/>
      <c r="RZ432" s="220"/>
      <c r="SA432" s="220"/>
      <c r="SB432" s="220"/>
      <c r="SC432" s="220"/>
      <c r="SD432" s="220"/>
      <c r="SE432" s="220"/>
      <c r="SF432" s="220"/>
      <c r="SG432" s="220"/>
      <c r="SH432" s="220"/>
      <c r="SI432" s="220"/>
      <c r="SJ432" s="220"/>
      <c r="SK432" s="220"/>
      <c r="SL432" s="220"/>
      <c r="SM432" s="220"/>
      <c r="SN432" s="220"/>
      <c r="SO432" s="220"/>
      <c r="SP432" s="220"/>
      <c r="SQ432" s="220"/>
      <c r="SR432" s="220"/>
      <c r="SS432" s="220"/>
      <c r="ST432" s="220"/>
      <c r="SU432" s="220"/>
      <c r="SV432" s="220"/>
      <c r="SW432" s="220"/>
      <c r="SX432" s="220"/>
      <c r="SY432" s="220"/>
      <c r="SZ432" s="220"/>
      <c r="TA432" s="220"/>
      <c r="TB432" s="220"/>
      <c r="TC432" s="220"/>
      <c r="TD432" s="220"/>
      <c r="TE432" s="220"/>
      <c r="TF432" s="220"/>
      <c r="TG432" s="220"/>
      <c r="TH432" s="220"/>
      <c r="TI432" s="220"/>
      <c r="TJ432" s="220"/>
      <c r="TK432" s="220"/>
      <c r="TL432" s="220"/>
      <c r="TM432" s="220"/>
      <c r="TN432" s="220"/>
      <c r="TO432" s="220"/>
      <c r="TP432" s="220"/>
      <c r="TQ432" s="220"/>
      <c r="TR432" s="220"/>
      <c r="TS432" s="220"/>
      <c r="TT432" s="220"/>
      <c r="TU432" s="220"/>
      <c r="TV432" s="220"/>
      <c r="TW432" s="220"/>
      <c r="TX432" s="220"/>
      <c r="TY432" s="220"/>
      <c r="TZ432" s="220"/>
      <c r="UA432" s="220"/>
      <c r="UB432" s="220"/>
      <c r="UC432" s="220"/>
      <c r="UD432" s="220"/>
      <c r="UE432" s="220"/>
      <c r="UF432" s="220"/>
      <c r="UG432" s="220"/>
      <c r="UH432" s="220"/>
      <c r="UI432" s="220"/>
      <c r="UJ432" s="220"/>
      <c r="UK432" s="220"/>
      <c r="UL432" s="220"/>
      <c r="UM432" s="220"/>
      <c r="UN432" s="220"/>
      <c r="UO432" s="220"/>
      <c r="UP432" s="220"/>
      <c r="UQ432" s="220"/>
      <c r="UR432" s="220"/>
      <c r="US432" s="220"/>
      <c r="UT432" s="220"/>
      <c r="UU432" s="220"/>
      <c r="UV432" s="220"/>
      <c r="UW432" s="220"/>
      <c r="UX432" s="220"/>
      <c r="UY432" s="220"/>
      <c r="UZ432" s="220"/>
      <c r="VA432" s="220"/>
      <c r="VB432" s="220"/>
      <c r="VC432" s="220"/>
      <c r="VD432" s="220"/>
      <c r="VE432" s="220"/>
      <c r="VF432" s="220"/>
      <c r="VG432" s="220"/>
      <c r="VH432" s="220"/>
      <c r="VI432" s="220"/>
      <c r="VJ432" s="220"/>
      <c r="VK432" s="220"/>
      <c r="VL432" s="220"/>
      <c r="VM432" s="220"/>
      <c r="VN432" s="220"/>
      <c r="VO432" s="220"/>
      <c r="VP432" s="220"/>
      <c r="VQ432" s="220"/>
      <c r="VR432" s="220"/>
      <c r="VS432" s="220"/>
      <c r="VT432" s="220"/>
      <c r="VU432" s="220"/>
      <c r="VV432" s="220"/>
      <c r="VW432" s="220"/>
      <c r="VX432" s="220"/>
      <c r="VY432" s="220"/>
      <c r="VZ432" s="220"/>
      <c r="WA432" s="220"/>
      <c r="WB432" s="220"/>
      <c r="WC432" s="220"/>
      <c r="WD432" s="220"/>
      <c r="WE432" s="220"/>
      <c r="WF432" s="220"/>
      <c r="WG432" s="220"/>
      <c r="WH432" s="220"/>
      <c r="WI432" s="220"/>
      <c r="WJ432" s="220"/>
      <c r="WK432" s="220"/>
      <c r="WL432" s="220"/>
      <c r="WM432" s="220"/>
      <c r="WN432" s="220"/>
      <c r="WO432" s="220"/>
      <c r="WP432" s="220"/>
      <c r="WQ432" s="220"/>
      <c r="WR432" s="220"/>
      <c r="WS432" s="220"/>
      <c r="WT432" s="220"/>
      <c r="WU432" s="220"/>
      <c r="WV432" s="220"/>
      <c r="WW432" s="220"/>
      <c r="WX432" s="220"/>
      <c r="WY432" s="220"/>
      <c r="WZ432" s="220"/>
      <c r="XA432" s="220"/>
      <c r="XB432" s="220"/>
      <c r="XC432" s="220"/>
      <c r="XD432" s="220"/>
      <c r="XE432" s="220"/>
      <c r="XF432" s="220"/>
      <c r="XG432" s="220"/>
      <c r="XH432" s="220"/>
      <c r="XI432" s="220"/>
      <c r="XJ432" s="220"/>
      <c r="XK432" s="220"/>
      <c r="XL432" s="220"/>
      <c r="XM432" s="220"/>
      <c r="XN432" s="220"/>
      <c r="XO432" s="220"/>
      <c r="XP432" s="220"/>
      <c r="XQ432" s="220"/>
      <c r="XR432" s="220"/>
      <c r="XS432" s="220"/>
      <c r="XT432" s="220"/>
      <c r="XU432" s="220"/>
      <c r="XV432" s="220"/>
      <c r="XW432" s="220"/>
      <c r="XX432" s="220"/>
      <c r="XY432" s="220"/>
      <c r="XZ432" s="220"/>
      <c r="YA432" s="220"/>
      <c r="YB432" s="220"/>
      <c r="YC432" s="220"/>
      <c r="YD432" s="220"/>
      <c r="YE432" s="220"/>
      <c r="YF432" s="220"/>
      <c r="YG432" s="220"/>
      <c r="YH432" s="220"/>
      <c r="YI432" s="220"/>
      <c r="YJ432" s="220"/>
      <c r="YK432" s="220"/>
      <c r="YL432" s="220"/>
      <c r="YM432" s="220"/>
      <c r="YN432" s="220"/>
      <c r="YO432" s="220"/>
      <c r="YP432" s="220"/>
      <c r="YQ432" s="220"/>
      <c r="YR432" s="220"/>
      <c r="YS432" s="220"/>
      <c r="YT432" s="220"/>
      <c r="YU432" s="220"/>
      <c r="YV432" s="220"/>
      <c r="YW432" s="220"/>
      <c r="YX432" s="220"/>
      <c r="YY432" s="220"/>
      <c r="YZ432" s="220"/>
      <c r="ZA432" s="220"/>
      <c r="ZB432" s="220"/>
      <c r="ZC432" s="220"/>
      <c r="ZD432" s="220"/>
      <c r="ZE432" s="220"/>
      <c r="ZF432" s="220"/>
      <c r="ZG432" s="220"/>
      <c r="ZH432" s="220"/>
      <c r="ZI432" s="220"/>
      <c r="ZJ432" s="220"/>
      <c r="ZK432" s="220"/>
      <c r="ZL432" s="220"/>
      <c r="ZM432" s="220"/>
      <c r="ZN432" s="220"/>
      <c r="ZO432" s="220"/>
      <c r="ZP432" s="220"/>
      <c r="ZQ432" s="220"/>
      <c r="ZR432" s="220"/>
      <c r="ZS432" s="220"/>
      <c r="ZT432" s="220"/>
      <c r="ZU432" s="220"/>
      <c r="ZV432" s="220"/>
      <c r="ZW432" s="220"/>
      <c r="ZX432" s="220"/>
      <c r="ZY432" s="220"/>
      <c r="ZZ432" s="220"/>
      <c r="AAA432" s="220"/>
      <c r="AAB432" s="220"/>
      <c r="AAC432" s="220"/>
      <c r="AAD432" s="220"/>
      <c r="AAE432" s="220"/>
      <c r="AAF432" s="220"/>
      <c r="AAG432" s="220"/>
      <c r="AAH432" s="220"/>
      <c r="AAI432" s="220"/>
      <c r="AAJ432" s="220"/>
      <c r="AAK432" s="220"/>
      <c r="AAL432" s="220"/>
      <c r="AAM432" s="220"/>
      <c r="AAN432" s="220"/>
      <c r="AAO432" s="220"/>
      <c r="AAP432" s="220"/>
      <c r="AAQ432" s="220"/>
      <c r="AAR432" s="220"/>
      <c r="AAS432" s="220"/>
      <c r="AAT432" s="220"/>
      <c r="AAU432" s="220"/>
      <c r="AAV432" s="220"/>
      <c r="AAW432" s="220"/>
      <c r="AAX432" s="220"/>
      <c r="AAY432" s="220"/>
      <c r="AAZ432" s="220"/>
      <c r="ABA432" s="220"/>
      <c r="ABB432" s="220"/>
      <c r="ABC432" s="220"/>
      <c r="ABD432" s="220"/>
      <c r="ABE432" s="220"/>
      <c r="ABF432" s="220"/>
      <c r="ABG432" s="220"/>
    </row>
    <row r="433" spans="1:52" s="3" customFormat="1" ht="30" customHeight="1" x14ac:dyDescent="0.2">
      <c r="A433" s="180">
        <v>2223</v>
      </c>
      <c r="B433" s="180" t="s">
        <v>328</v>
      </c>
      <c r="C433" s="120">
        <v>76000</v>
      </c>
      <c r="D433" s="120">
        <v>76000</v>
      </c>
      <c r="E433" s="120"/>
      <c r="F433" s="120"/>
      <c r="G433" s="120"/>
      <c r="H433" s="120"/>
      <c r="I433" s="120"/>
      <c r="J433" s="6"/>
    </row>
    <row r="434" spans="1:52" s="3" customFormat="1" ht="30" customHeight="1" x14ac:dyDescent="0.2">
      <c r="A434" s="180"/>
      <c r="B434" s="240" t="s">
        <v>327</v>
      </c>
      <c r="C434" s="126">
        <v>76000</v>
      </c>
      <c r="D434" s="126">
        <v>76000</v>
      </c>
      <c r="E434" s="206"/>
      <c r="F434" s="206"/>
      <c r="G434" s="126"/>
      <c r="H434" s="126"/>
      <c r="I434" s="120"/>
      <c r="J434" s="14"/>
    </row>
    <row r="435" spans="1:52" s="3" customFormat="1" ht="30" customHeight="1" x14ac:dyDescent="0.2">
      <c r="A435" s="180">
        <v>2292</v>
      </c>
      <c r="B435" s="180" t="s">
        <v>326</v>
      </c>
      <c r="C435" s="120">
        <f>C436+C437+C438+C439</f>
        <v>6962417</v>
      </c>
      <c r="D435" s="120">
        <f>D436+D437+D438+D439</f>
        <v>6812417</v>
      </c>
      <c r="E435" s="120"/>
      <c r="F435" s="120"/>
      <c r="G435" s="120"/>
      <c r="H435" s="120"/>
      <c r="I435" s="120"/>
      <c r="J435" s="14"/>
    </row>
    <row r="436" spans="1:52" s="3" customFormat="1" ht="30" customHeight="1" x14ac:dyDescent="0.2">
      <c r="A436" s="180"/>
      <c r="B436" s="237" t="s">
        <v>325</v>
      </c>
      <c r="C436" s="126">
        <v>1112417</v>
      </c>
      <c r="D436" s="126">
        <v>1112417</v>
      </c>
      <c r="E436" s="130"/>
      <c r="F436" s="130"/>
      <c r="G436" s="126"/>
      <c r="H436" s="126"/>
      <c r="I436" s="126"/>
      <c r="J436" s="14"/>
    </row>
    <row r="437" spans="1:52" s="3" customFormat="1" ht="30" customHeight="1" x14ac:dyDescent="0.2">
      <c r="A437" s="180"/>
      <c r="B437" s="237" t="s">
        <v>324</v>
      </c>
      <c r="C437" s="126">
        <v>5100000</v>
      </c>
      <c r="D437" s="126">
        <v>5100000</v>
      </c>
      <c r="E437" s="130"/>
      <c r="F437" s="130"/>
      <c r="G437" s="126"/>
      <c r="H437" s="126"/>
      <c r="I437" s="126"/>
      <c r="J437" s="6"/>
    </row>
    <row r="438" spans="1:52" s="236" customFormat="1" ht="30" customHeight="1" x14ac:dyDescent="0.2">
      <c r="A438" s="180"/>
      <c r="B438" s="179" t="s">
        <v>323</v>
      </c>
      <c r="C438" s="126">
        <v>200000</v>
      </c>
      <c r="D438" s="126">
        <v>200000</v>
      </c>
      <c r="E438" s="126"/>
      <c r="F438" s="126"/>
      <c r="G438" s="126"/>
      <c r="H438" s="126"/>
      <c r="I438" s="126"/>
      <c r="J438" s="129"/>
    </row>
    <row r="439" spans="1:52" s="3" customFormat="1" ht="30" customHeight="1" x14ac:dyDescent="0.2">
      <c r="A439" s="235"/>
      <c r="B439" s="234" t="s">
        <v>322</v>
      </c>
      <c r="C439" s="130">
        <v>550000</v>
      </c>
      <c r="D439" s="130">
        <f>550000-150000</f>
        <v>400000</v>
      </c>
      <c r="E439" s="130"/>
      <c r="F439" s="130"/>
      <c r="G439" s="126"/>
      <c r="H439" s="126"/>
      <c r="I439" s="126"/>
      <c r="J439" s="129"/>
    </row>
    <row r="440" spans="1:52" s="3" customFormat="1" ht="30" customHeight="1" thickBot="1" x14ac:dyDescent="0.25">
      <c r="A440" s="232"/>
      <c r="B440" s="231"/>
      <c r="C440" s="151"/>
      <c r="D440" s="151"/>
      <c r="E440" s="117"/>
      <c r="F440" s="117"/>
      <c r="G440" s="151"/>
      <c r="H440" s="151"/>
      <c r="I440" s="151"/>
      <c r="J440" s="129"/>
    </row>
    <row r="441" spans="1:52" s="3" customFormat="1" ht="30" customHeight="1" thickBot="1" x14ac:dyDescent="0.35">
      <c r="A441" s="230"/>
      <c r="B441" s="139" t="s">
        <v>321</v>
      </c>
      <c r="C441" s="176">
        <f>SUM(C442:C443)</f>
        <v>112000</v>
      </c>
      <c r="D441" s="176">
        <f>SUM(D442:D443)</f>
        <v>112000</v>
      </c>
      <c r="E441" s="181"/>
      <c r="F441" s="181"/>
      <c r="G441" s="571"/>
      <c r="H441" s="181"/>
      <c r="I441" s="181"/>
      <c r="J441" s="129"/>
    </row>
    <row r="442" spans="1:52" s="3" customFormat="1" ht="30" customHeight="1" x14ac:dyDescent="0.2">
      <c r="A442" s="180">
        <v>2223</v>
      </c>
      <c r="B442" s="123" t="s">
        <v>320</v>
      </c>
      <c r="C442" s="120">
        <v>100000</v>
      </c>
      <c r="D442" s="120">
        <v>100000</v>
      </c>
      <c r="E442" s="120"/>
      <c r="F442" s="126"/>
      <c r="G442" s="120"/>
      <c r="H442" s="120"/>
      <c r="I442" s="120"/>
      <c r="J442" s="162"/>
    </row>
    <row r="443" spans="1:52" s="3" customFormat="1" ht="30" customHeight="1" x14ac:dyDescent="0.2">
      <c r="A443" s="180">
        <v>6171</v>
      </c>
      <c r="B443" s="229" t="s">
        <v>319</v>
      </c>
      <c r="C443" s="120">
        <v>12000</v>
      </c>
      <c r="D443" s="120">
        <v>12000</v>
      </c>
      <c r="E443" s="211"/>
      <c r="F443" s="152"/>
      <c r="G443" s="120"/>
      <c r="H443" s="120"/>
      <c r="I443" s="120"/>
      <c r="J443" s="162"/>
    </row>
    <row r="444" spans="1:52" s="3" customFormat="1" ht="30" customHeight="1" thickBot="1" x14ac:dyDescent="0.25">
      <c r="A444" s="228"/>
      <c r="B444" s="227"/>
      <c r="C444" s="117"/>
      <c r="D444" s="117"/>
      <c r="E444" s="520"/>
      <c r="F444" s="520"/>
      <c r="G444" s="151"/>
      <c r="H444" s="151"/>
      <c r="I444" s="151"/>
      <c r="J444" s="14"/>
    </row>
    <row r="445" spans="1:52" s="3" customFormat="1" ht="30" customHeight="1" thickBot="1" x14ac:dyDescent="0.35">
      <c r="A445" s="226"/>
      <c r="B445" s="225" t="s">
        <v>318</v>
      </c>
      <c r="C445" s="35">
        <f>C446</f>
        <v>500000</v>
      </c>
      <c r="D445" s="35">
        <f>D446</f>
        <v>500000</v>
      </c>
      <c r="E445" s="181"/>
      <c r="F445" s="181"/>
      <c r="G445" s="571"/>
      <c r="H445" s="181"/>
      <c r="I445" s="181"/>
      <c r="J445" s="129"/>
      <c r="K445" s="220"/>
      <c r="L445" s="220"/>
      <c r="M445" s="220"/>
      <c r="N445" s="220"/>
      <c r="O445" s="220"/>
      <c r="P445" s="220"/>
      <c r="Q445" s="220"/>
      <c r="R445" s="220"/>
      <c r="S445" s="220"/>
      <c r="T445" s="220"/>
      <c r="U445" s="220"/>
      <c r="V445" s="220"/>
      <c r="W445" s="220"/>
      <c r="X445" s="220"/>
      <c r="Y445" s="220"/>
      <c r="Z445" s="220"/>
      <c r="AA445" s="220"/>
      <c r="AB445" s="220"/>
      <c r="AC445" s="220"/>
      <c r="AD445" s="220"/>
      <c r="AE445" s="220"/>
      <c r="AF445" s="220"/>
      <c r="AG445" s="220"/>
      <c r="AH445" s="220"/>
      <c r="AI445" s="220"/>
      <c r="AJ445" s="220"/>
      <c r="AK445" s="220"/>
      <c r="AL445" s="220"/>
      <c r="AM445" s="220"/>
      <c r="AN445" s="220"/>
      <c r="AO445" s="220"/>
      <c r="AP445" s="220"/>
      <c r="AQ445" s="220"/>
      <c r="AR445" s="220"/>
      <c r="AS445" s="220"/>
      <c r="AT445" s="220"/>
      <c r="AU445" s="220"/>
      <c r="AV445" s="220"/>
      <c r="AW445" s="220"/>
      <c r="AX445" s="220"/>
      <c r="AY445" s="220"/>
      <c r="AZ445" s="220"/>
    </row>
    <row r="446" spans="1:52" s="3" customFormat="1" ht="30" customHeight="1" x14ac:dyDescent="0.2">
      <c r="A446" s="123">
        <v>6114</v>
      </c>
      <c r="B446" s="19" t="s">
        <v>317</v>
      </c>
      <c r="C446" s="18">
        <v>500000</v>
      </c>
      <c r="D446" s="18">
        <v>500000</v>
      </c>
      <c r="E446" s="122"/>
      <c r="F446" s="122"/>
      <c r="G446" s="120"/>
      <c r="H446" s="120"/>
      <c r="I446" s="120"/>
      <c r="J446" s="162"/>
      <c r="K446" s="220"/>
      <c r="L446" s="220"/>
      <c r="M446" s="220"/>
      <c r="N446" s="220"/>
      <c r="O446" s="220"/>
      <c r="P446" s="220"/>
      <c r="Q446" s="220"/>
      <c r="R446" s="220"/>
      <c r="S446" s="220"/>
      <c r="T446" s="220"/>
      <c r="U446" s="220"/>
      <c r="V446" s="220"/>
      <c r="W446" s="220"/>
      <c r="X446" s="220"/>
      <c r="Y446" s="220"/>
      <c r="Z446" s="220"/>
      <c r="AA446" s="220"/>
      <c r="AB446" s="220"/>
      <c r="AC446" s="220"/>
      <c r="AD446" s="220"/>
      <c r="AE446" s="220"/>
      <c r="AF446" s="220"/>
      <c r="AG446" s="220"/>
      <c r="AH446" s="220"/>
      <c r="AI446" s="220"/>
      <c r="AJ446" s="220"/>
      <c r="AK446" s="220"/>
      <c r="AL446" s="220"/>
      <c r="AM446" s="220"/>
      <c r="AN446" s="220"/>
      <c r="AO446" s="220"/>
      <c r="AP446" s="220"/>
      <c r="AQ446" s="220"/>
      <c r="AR446" s="220"/>
      <c r="AS446" s="220"/>
      <c r="AT446" s="220"/>
      <c r="AU446" s="220"/>
      <c r="AV446" s="220"/>
      <c r="AW446" s="220"/>
      <c r="AX446" s="220"/>
      <c r="AY446" s="220"/>
      <c r="AZ446" s="220"/>
    </row>
    <row r="447" spans="1:52" s="3" customFormat="1" ht="30" customHeight="1" thickBot="1" x14ac:dyDescent="0.25">
      <c r="A447" s="141"/>
      <c r="B447" s="222"/>
      <c r="C447" s="221"/>
      <c r="D447" s="221"/>
      <c r="E447" s="521"/>
      <c r="F447" s="152"/>
      <c r="G447" s="486"/>
      <c r="H447" s="486"/>
      <c r="I447" s="486"/>
      <c r="J447" s="162"/>
      <c r="K447" s="220"/>
      <c r="L447" s="220"/>
      <c r="M447" s="220"/>
      <c r="N447" s="220"/>
      <c r="O447" s="220"/>
      <c r="P447" s="220"/>
      <c r="Q447" s="220"/>
      <c r="R447" s="220"/>
      <c r="S447" s="220"/>
      <c r="T447" s="220"/>
      <c r="U447" s="220"/>
      <c r="V447" s="220"/>
      <c r="W447" s="220"/>
      <c r="X447" s="220"/>
      <c r="Y447" s="220"/>
      <c r="Z447" s="220"/>
      <c r="AA447" s="220"/>
      <c r="AB447" s="220"/>
      <c r="AC447" s="220"/>
      <c r="AD447" s="220"/>
      <c r="AE447" s="220"/>
      <c r="AF447" s="220"/>
      <c r="AG447" s="220"/>
      <c r="AH447" s="220"/>
      <c r="AI447" s="220"/>
      <c r="AJ447" s="220"/>
      <c r="AK447" s="220"/>
      <c r="AL447" s="220"/>
      <c r="AM447" s="220"/>
      <c r="AN447" s="220"/>
      <c r="AO447" s="220"/>
      <c r="AP447" s="220"/>
      <c r="AQ447" s="220"/>
      <c r="AR447" s="220"/>
      <c r="AS447" s="220"/>
      <c r="AT447" s="220"/>
      <c r="AU447" s="220"/>
      <c r="AV447" s="220"/>
      <c r="AW447" s="220"/>
      <c r="AX447" s="220"/>
      <c r="AY447" s="220"/>
      <c r="AZ447" s="220"/>
    </row>
    <row r="448" spans="1:52" s="3" customFormat="1" ht="30" customHeight="1" thickBot="1" x14ac:dyDescent="0.35">
      <c r="A448" s="219"/>
      <c r="B448" s="218" t="s">
        <v>316</v>
      </c>
      <c r="C448" s="35">
        <f>C449+C501+C524</f>
        <v>165843398.80000001</v>
      </c>
      <c r="D448" s="35">
        <f>D449+D501+D524</f>
        <v>169653408.5</v>
      </c>
      <c r="E448" s="242"/>
      <c r="F448" s="242"/>
      <c r="G448" s="571"/>
      <c r="H448" s="181"/>
      <c r="I448" s="181"/>
      <c r="J448" s="162"/>
    </row>
    <row r="449" spans="1:10" s="3" customFormat="1" ht="30" customHeight="1" thickBot="1" x14ac:dyDescent="0.3">
      <c r="A449" s="140"/>
      <c r="B449" s="202" t="s">
        <v>315</v>
      </c>
      <c r="C449" s="157">
        <f>SUM(C450,C469,C500,C495)</f>
        <v>84320582.799999997</v>
      </c>
      <c r="D449" s="157">
        <f>SUM(D450,D469,D500,D495)</f>
        <v>84633644.5</v>
      </c>
      <c r="E449" s="312"/>
      <c r="F449" s="312"/>
      <c r="G449" s="479"/>
      <c r="H449" s="479"/>
      <c r="I449" s="479"/>
      <c r="J449" s="162"/>
    </row>
    <row r="450" spans="1:10" s="3" customFormat="1" ht="30" customHeight="1" x14ac:dyDescent="0.2">
      <c r="A450" s="138">
        <v>3111</v>
      </c>
      <c r="B450" s="188" t="s">
        <v>314</v>
      </c>
      <c r="C450" s="217">
        <f>SUM(C451:C453)</f>
        <v>21243000</v>
      </c>
      <c r="D450" s="217">
        <f>SUM(D451:D453)</f>
        <v>20575924</v>
      </c>
      <c r="E450" s="120"/>
      <c r="F450" s="120"/>
      <c r="G450" s="120"/>
      <c r="H450" s="120"/>
      <c r="I450" s="120"/>
      <c r="J450" s="162"/>
    </row>
    <row r="451" spans="1:10" s="3" customFormat="1" ht="30" customHeight="1" x14ac:dyDescent="0.2">
      <c r="A451" s="132"/>
      <c r="B451" s="581" t="s">
        <v>313</v>
      </c>
      <c r="C451" s="582">
        <f>SUM(C456,C465,C461)</f>
        <v>5998000</v>
      </c>
      <c r="D451" s="582">
        <f>SUM(D456,D465,D461)</f>
        <v>6330924</v>
      </c>
      <c r="E451" s="130"/>
      <c r="F451" s="130"/>
      <c r="G451" s="126"/>
      <c r="H451" s="126"/>
      <c r="I451" s="126"/>
      <c r="J451" s="6"/>
    </row>
    <row r="452" spans="1:10" s="3" customFormat="1" ht="30" customHeight="1" x14ac:dyDescent="0.2">
      <c r="A452" s="132"/>
      <c r="B452" s="581" t="s">
        <v>312</v>
      </c>
      <c r="C452" s="582">
        <f>SUM(C457,C466,C462)</f>
        <v>3365000</v>
      </c>
      <c r="D452" s="582">
        <f>SUM(D457,D466,D462)</f>
        <v>3365000</v>
      </c>
      <c r="E452" s="151"/>
      <c r="F452" s="151"/>
      <c r="G452" s="126"/>
      <c r="H452" s="151"/>
      <c r="I452" s="151"/>
      <c r="J452" s="14"/>
    </row>
    <row r="453" spans="1:10" s="3" customFormat="1" ht="30" customHeight="1" x14ac:dyDescent="0.2">
      <c r="A453" s="132"/>
      <c r="B453" s="581" t="s">
        <v>311</v>
      </c>
      <c r="C453" s="582">
        <f>C467+C458</f>
        <v>11880000</v>
      </c>
      <c r="D453" s="582">
        <f>D467+D458</f>
        <v>10880000</v>
      </c>
      <c r="E453" s="104"/>
      <c r="F453" s="104"/>
      <c r="G453" s="126"/>
      <c r="H453" s="130"/>
      <c r="I453" s="130"/>
      <c r="J453" s="201"/>
    </row>
    <row r="454" spans="1:10" s="3" customFormat="1" ht="30" customHeight="1" x14ac:dyDescent="0.2">
      <c r="A454" s="132"/>
      <c r="B454" s="216"/>
      <c r="C454" s="215"/>
      <c r="D454" s="215"/>
      <c r="E454" s="133"/>
      <c r="F454" s="133"/>
      <c r="G454" s="126"/>
      <c r="H454" s="126"/>
      <c r="I454" s="126"/>
      <c r="J454" s="14"/>
    </row>
    <row r="455" spans="1:10" s="17" customFormat="1" ht="30" customHeight="1" x14ac:dyDescent="0.25">
      <c r="A455" s="132"/>
      <c r="B455" s="183" t="s">
        <v>310</v>
      </c>
      <c r="C455" s="122">
        <f>C456+C457+C458</f>
        <v>11049000</v>
      </c>
      <c r="D455" s="122">
        <f>D456+D457+D458</f>
        <v>9989000</v>
      </c>
      <c r="E455" s="121"/>
      <c r="F455" s="121"/>
      <c r="G455" s="120"/>
      <c r="H455" s="120"/>
      <c r="I455" s="120"/>
      <c r="J455" s="14"/>
    </row>
    <row r="456" spans="1:10" s="3" customFormat="1" ht="30" customHeight="1" x14ac:dyDescent="0.2">
      <c r="A456" s="132"/>
      <c r="B456" s="183" t="s">
        <v>302</v>
      </c>
      <c r="C456" s="126">
        <v>1676000</v>
      </c>
      <c r="D456" s="126">
        <f>1676000-60000</f>
        <v>1616000</v>
      </c>
      <c r="E456" s="130"/>
      <c r="F456" s="130"/>
      <c r="G456" s="126"/>
      <c r="H456" s="126"/>
      <c r="I456" s="126"/>
      <c r="J456" s="6"/>
    </row>
    <row r="457" spans="1:10" ht="36.75" x14ac:dyDescent="0.2">
      <c r="A457" s="132" t="s">
        <v>309</v>
      </c>
      <c r="B457" s="183" t="s">
        <v>308</v>
      </c>
      <c r="C457" s="126">
        <f>(121+90+70+130+462-100)*1000</f>
        <v>773000</v>
      </c>
      <c r="D457" s="126">
        <f>(121+90+70+130+462-100)*1000</f>
        <v>773000</v>
      </c>
      <c r="E457" s="152"/>
      <c r="F457" s="152"/>
      <c r="G457" s="126"/>
      <c r="H457" s="126"/>
      <c r="I457" s="126"/>
      <c r="J457" s="6"/>
    </row>
    <row r="458" spans="1:10" ht="30" customHeight="1" x14ac:dyDescent="0.2">
      <c r="A458" s="132"/>
      <c r="B458" s="183" t="s">
        <v>307</v>
      </c>
      <c r="C458" s="126">
        <f>(3600+4000+1000)*1000</f>
        <v>8600000</v>
      </c>
      <c r="D458" s="126">
        <f>((3600+4000+1000)*1000)-1000000</f>
        <v>7600000</v>
      </c>
      <c r="E458" s="130"/>
      <c r="F458" s="130"/>
      <c r="G458" s="126"/>
      <c r="H458" s="126"/>
      <c r="I458" s="126"/>
      <c r="J458" s="6"/>
    </row>
    <row r="459" spans="1:10" ht="30" customHeight="1" x14ac:dyDescent="0.2">
      <c r="A459" s="214"/>
      <c r="B459" s="213"/>
      <c r="C459" s="130"/>
      <c r="D459" s="130"/>
      <c r="E459" s="130"/>
      <c r="F459" s="130"/>
      <c r="G459" s="126"/>
      <c r="H459" s="126"/>
      <c r="I459" s="126"/>
      <c r="J459" s="6"/>
    </row>
    <row r="460" spans="1:10" ht="30" customHeight="1" x14ac:dyDescent="0.2">
      <c r="A460" s="132"/>
      <c r="B460" s="212" t="s">
        <v>306</v>
      </c>
      <c r="C460" s="122">
        <f>SUM(C461:C462)</f>
        <v>3515000</v>
      </c>
      <c r="D460" s="122">
        <f>SUM(D461:D462)</f>
        <v>3410940</v>
      </c>
      <c r="E460" s="121"/>
      <c r="F460" s="121"/>
      <c r="G460" s="120"/>
      <c r="H460" s="120"/>
      <c r="I460" s="120"/>
      <c r="J460" s="14"/>
    </row>
    <row r="461" spans="1:10" ht="30" customHeight="1" x14ac:dyDescent="0.2">
      <c r="A461" s="132"/>
      <c r="B461" s="183" t="s">
        <v>305</v>
      </c>
      <c r="C461" s="126">
        <v>2535000</v>
      </c>
      <c r="D461" s="126">
        <f>2535000+35940-140000</f>
        <v>2430940</v>
      </c>
      <c r="E461" s="127"/>
      <c r="F461" s="127"/>
      <c r="G461" s="126"/>
      <c r="H461" s="126"/>
      <c r="I461" s="126"/>
      <c r="J461" s="14"/>
    </row>
    <row r="462" spans="1:10" ht="36.75" x14ac:dyDescent="0.2">
      <c r="A462" s="132"/>
      <c r="B462" s="183" t="s">
        <v>304</v>
      </c>
      <c r="C462" s="126">
        <v>980000</v>
      </c>
      <c r="D462" s="126">
        <v>980000</v>
      </c>
      <c r="E462" s="127"/>
      <c r="F462" s="127"/>
      <c r="G462" s="126"/>
      <c r="H462" s="126"/>
      <c r="I462" s="126"/>
      <c r="J462" s="6"/>
    </row>
    <row r="463" spans="1:10" ht="30" customHeight="1" x14ac:dyDescent="0.2">
      <c r="A463" s="132"/>
      <c r="B463" s="183"/>
      <c r="C463" s="126"/>
      <c r="D463" s="126"/>
      <c r="E463" s="127"/>
      <c r="F463" s="127"/>
      <c r="G463" s="126"/>
      <c r="H463" s="126"/>
      <c r="I463" s="126"/>
      <c r="J463" s="14"/>
    </row>
    <row r="464" spans="1:10" ht="30" customHeight="1" x14ac:dyDescent="0.2">
      <c r="A464" s="132"/>
      <c r="B464" s="183" t="s">
        <v>303</v>
      </c>
      <c r="C464" s="551">
        <f>SUM(C465:C467)</f>
        <v>6679000</v>
      </c>
      <c r="D464" s="551">
        <f>SUM(D465:D467)</f>
        <v>7175984</v>
      </c>
      <c r="E464" s="122"/>
      <c r="F464" s="122"/>
      <c r="G464" s="120"/>
      <c r="H464" s="120"/>
      <c r="I464" s="120"/>
      <c r="J464" s="6"/>
    </row>
    <row r="465" spans="1:10" ht="30" customHeight="1" x14ac:dyDescent="0.2">
      <c r="A465" s="132"/>
      <c r="B465" s="183" t="s">
        <v>302</v>
      </c>
      <c r="C465" s="130">
        <v>1787000</v>
      </c>
      <c r="D465" s="130">
        <f>1787000+(70381.36+398827.64)+27775</f>
        <v>2283984</v>
      </c>
      <c r="E465" s="195"/>
      <c r="F465" s="195"/>
      <c r="G465" s="126"/>
      <c r="H465" s="126"/>
      <c r="I465" s="126"/>
      <c r="J465" s="14"/>
    </row>
    <row r="466" spans="1:10" ht="44.25" customHeight="1" x14ac:dyDescent="0.2">
      <c r="A466" s="132"/>
      <c r="B466" s="183" t="s">
        <v>301</v>
      </c>
      <c r="C466" s="126">
        <f>+(368+237+417+210+260+120)*1000</f>
        <v>1612000</v>
      </c>
      <c r="D466" s="126">
        <f>+(368+237+417+210+260+120)*1000</f>
        <v>1612000</v>
      </c>
      <c r="E466" s="195"/>
      <c r="F466" s="195"/>
      <c r="G466" s="126"/>
      <c r="H466" s="126"/>
      <c r="I466" s="126"/>
      <c r="J466" s="6"/>
    </row>
    <row r="467" spans="1:10" ht="30" customHeight="1" x14ac:dyDescent="0.2">
      <c r="A467" s="132"/>
      <c r="B467" s="183" t="s">
        <v>300</v>
      </c>
      <c r="C467" s="126">
        <v>3280000</v>
      </c>
      <c r="D467" s="126">
        <v>3280000</v>
      </c>
      <c r="E467" s="127"/>
      <c r="F467" s="127"/>
      <c r="G467" s="126"/>
      <c r="H467" s="126"/>
      <c r="I467" s="126"/>
      <c r="J467" s="6"/>
    </row>
    <row r="468" spans="1:10" ht="30" customHeight="1" x14ac:dyDescent="0.2">
      <c r="A468" s="132"/>
      <c r="B468" s="183"/>
      <c r="C468" s="126"/>
      <c r="D468" s="126"/>
      <c r="E468" s="495"/>
      <c r="F468" s="495"/>
      <c r="G468" s="126"/>
      <c r="H468" s="126"/>
      <c r="I468" s="126"/>
      <c r="J468" s="14"/>
    </row>
    <row r="469" spans="1:10" ht="30" customHeight="1" x14ac:dyDescent="0.2">
      <c r="A469" s="124">
        <v>3113</v>
      </c>
      <c r="B469" s="203" t="s">
        <v>299</v>
      </c>
      <c r="C469" s="122">
        <f>SUM(C470:C473)</f>
        <v>41100771.5</v>
      </c>
      <c r="D469" s="122">
        <f>SUM(D470:D473)</f>
        <v>42058609.200000003</v>
      </c>
      <c r="E469" s="121"/>
      <c r="F469" s="121"/>
      <c r="G469" s="120"/>
      <c r="H469" s="120"/>
      <c r="I469" s="120"/>
      <c r="J469" s="6"/>
    </row>
    <row r="470" spans="1:10" ht="30" customHeight="1" x14ac:dyDescent="0.2">
      <c r="A470" s="124"/>
      <c r="B470" s="128" t="s">
        <v>298</v>
      </c>
      <c r="C470" s="126">
        <v>400000</v>
      </c>
      <c r="D470" s="126">
        <v>400000</v>
      </c>
      <c r="E470" s="130"/>
      <c r="F470" s="498"/>
      <c r="G470" s="126"/>
      <c r="H470" s="126"/>
      <c r="I470" s="126"/>
      <c r="J470" s="6"/>
    </row>
    <row r="471" spans="1:10" ht="30" customHeight="1" x14ac:dyDescent="0.2">
      <c r="A471" s="132"/>
      <c r="B471" s="183" t="s">
        <v>297</v>
      </c>
      <c r="C471" s="204">
        <f>SUM(C481,C486,C476,C491)</f>
        <v>18701000</v>
      </c>
      <c r="D471" s="204">
        <f>SUM(D481,D486,D476,D491)</f>
        <v>20726502.899999999</v>
      </c>
      <c r="E471" s="130"/>
      <c r="F471" s="130"/>
      <c r="G471" s="126"/>
      <c r="H471" s="126"/>
      <c r="I471" s="126"/>
      <c r="J471" s="14"/>
    </row>
    <row r="472" spans="1:10" ht="30" customHeight="1" x14ac:dyDescent="0.2">
      <c r="A472" s="132"/>
      <c r="B472" s="183" t="s">
        <v>296</v>
      </c>
      <c r="C472" s="204">
        <f>SUM(C482,C487,C477,C492)</f>
        <v>10054000</v>
      </c>
      <c r="D472" s="204">
        <f>SUM(D482,D487,D477,D492)</f>
        <v>8059000</v>
      </c>
      <c r="E472" s="130"/>
      <c r="F472" s="130"/>
      <c r="G472" s="126"/>
      <c r="H472" s="126"/>
      <c r="I472" s="126"/>
      <c r="J472" s="6"/>
    </row>
    <row r="473" spans="1:10" ht="30" customHeight="1" x14ac:dyDescent="0.2">
      <c r="A473" s="132"/>
      <c r="B473" s="183" t="s">
        <v>295</v>
      </c>
      <c r="C473" s="207">
        <f>C478+C483+C488+C493</f>
        <v>11945771.5</v>
      </c>
      <c r="D473" s="207">
        <f>D478+D483+D488+D493</f>
        <v>12873106.300000001</v>
      </c>
      <c r="E473" s="130"/>
      <c r="F473" s="130"/>
      <c r="G473" s="126"/>
      <c r="H473" s="126"/>
      <c r="I473" s="126"/>
      <c r="J473" s="14"/>
    </row>
    <row r="474" spans="1:10" s="3" customFormat="1" ht="30" customHeight="1" x14ac:dyDescent="0.2">
      <c r="A474" s="132"/>
      <c r="B474" s="183"/>
      <c r="C474" s="182"/>
      <c r="D474" s="182"/>
      <c r="E474" s="130"/>
      <c r="F474" s="130"/>
      <c r="G474" s="126"/>
      <c r="H474" s="126"/>
      <c r="I474" s="126"/>
      <c r="J474" s="6"/>
    </row>
    <row r="475" spans="1:10" ht="30" customHeight="1" x14ac:dyDescent="0.2">
      <c r="A475" s="132"/>
      <c r="B475" s="183" t="s">
        <v>294</v>
      </c>
      <c r="C475" s="205">
        <f>SUM(C476:C478)</f>
        <v>11137000</v>
      </c>
      <c r="D475" s="205">
        <f>SUM(D476:D478)</f>
        <v>10849932</v>
      </c>
      <c r="E475" s="122"/>
      <c r="F475" s="127"/>
      <c r="G475" s="120"/>
      <c r="H475" s="120"/>
      <c r="I475" s="120"/>
      <c r="J475" s="14"/>
    </row>
    <row r="476" spans="1:10" ht="30" customHeight="1" x14ac:dyDescent="0.2">
      <c r="A476" s="132"/>
      <c r="B476" s="183" t="s">
        <v>293</v>
      </c>
      <c r="C476" s="126">
        <v>6333000</v>
      </c>
      <c r="D476" s="126">
        <f>6333000+7932-300000</f>
        <v>6040932</v>
      </c>
      <c r="E476" s="130"/>
      <c r="F476" s="130"/>
      <c r="G476" s="126"/>
      <c r="H476" s="126"/>
      <c r="I476" s="126"/>
      <c r="J476" s="14"/>
    </row>
    <row r="477" spans="1:10" ht="30" customHeight="1" x14ac:dyDescent="0.2">
      <c r="A477" s="132"/>
      <c r="B477" s="183" t="s">
        <v>292</v>
      </c>
      <c r="C477" s="126">
        <v>1178000</v>
      </c>
      <c r="D477" s="126">
        <f>1178000+5000</f>
        <v>1183000</v>
      </c>
      <c r="E477" s="117"/>
      <c r="F477" s="117"/>
      <c r="G477" s="126"/>
      <c r="H477" s="151"/>
      <c r="I477" s="151"/>
      <c r="J477" s="6"/>
    </row>
    <row r="478" spans="1:10" ht="44.25" customHeight="1" x14ac:dyDescent="0.2">
      <c r="A478" s="132"/>
      <c r="B478" s="183" t="s">
        <v>291</v>
      </c>
      <c r="C478" s="126">
        <f>(150+3000+300+70+192+85+129-300)*1000</f>
        <v>3626000</v>
      </c>
      <c r="D478" s="126">
        <f>(150+3000+300+70+192+85+129-300)*1000</f>
        <v>3626000</v>
      </c>
      <c r="E478" s="130"/>
      <c r="F478" s="130"/>
      <c r="G478" s="126"/>
      <c r="H478" s="130"/>
      <c r="I478" s="130"/>
      <c r="J478" s="6"/>
    </row>
    <row r="479" spans="1:10" ht="30" customHeight="1" x14ac:dyDescent="0.2">
      <c r="A479" s="132"/>
      <c r="B479" s="183"/>
      <c r="C479" s="130"/>
      <c r="D479" s="130"/>
      <c r="E479" s="133"/>
      <c r="F479" s="133"/>
      <c r="G479" s="126"/>
      <c r="H479" s="120"/>
      <c r="I479" s="120"/>
      <c r="J479" s="14"/>
    </row>
    <row r="480" spans="1:10" ht="30" customHeight="1" x14ac:dyDescent="0.2">
      <c r="A480" s="132"/>
      <c r="B480" s="183" t="s">
        <v>290</v>
      </c>
      <c r="C480" s="205">
        <f>SUM(C481:C483)</f>
        <v>10355771.5</v>
      </c>
      <c r="D480" s="205">
        <f>SUM(D481:D483)</f>
        <v>10325771.5</v>
      </c>
      <c r="E480" s="122"/>
      <c r="F480" s="127"/>
      <c r="G480" s="120"/>
      <c r="H480" s="120"/>
      <c r="I480" s="120"/>
      <c r="J480" s="14"/>
    </row>
    <row r="481" spans="1:10" ht="30" customHeight="1" x14ac:dyDescent="0.2">
      <c r="A481" s="132"/>
      <c r="B481" s="183" t="s">
        <v>289</v>
      </c>
      <c r="C481" s="126">
        <v>3940000</v>
      </c>
      <c r="D481" s="126">
        <f>3940000-30000</f>
        <v>3910000</v>
      </c>
      <c r="E481" s="130"/>
      <c r="F481" s="130"/>
      <c r="G481" s="126"/>
      <c r="H481" s="126"/>
      <c r="I481" s="126"/>
      <c r="J481" s="14"/>
    </row>
    <row r="482" spans="1:10" ht="30" customHeight="1" x14ac:dyDescent="0.2">
      <c r="A482" s="132"/>
      <c r="B482" s="183" t="s">
        <v>288</v>
      </c>
      <c r="C482" s="126">
        <v>576000</v>
      </c>
      <c r="D482" s="126">
        <v>576000</v>
      </c>
      <c r="E482" s="130"/>
      <c r="F482" s="130"/>
      <c r="G482" s="126"/>
      <c r="H482" s="126"/>
      <c r="I482" s="126"/>
      <c r="J482" s="6"/>
    </row>
    <row r="483" spans="1:10" ht="30" customHeight="1" x14ac:dyDescent="0.2">
      <c r="A483" s="132"/>
      <c r="B483" s="183" t="s">
        <v>287</v>
      </c>
      <c r="C483" s="126">
        <v>5839771.5</v>
      </c>
      <c r="D483" s="126">
        <v>5839771.5</v>
      </c>
      <c r="E483" s="130"/>
      <c r="F483" s="130"/>
      <c r="G483" s="126"/>
      <c r="H483" s="126"/>
      <c r="I483" s="126"/>
      <c r="J483" s="6"/>
    </row>
    <row r="484" spans="1:10" ht="30" customHeight="1" x14ac:dyDescent="0.2">
      <c r="A484" s="132"/>
      <c r="B484" s="183"/>
      <c r="C484" s="130"/>
      <c r="D484" s="130"/>
      <c r="E484" s="130"/>
      <c r="F484" s="130"/>
      <c r="G484" s="126"/>
      <c r="H484" s="126"/>
      <c r="I484" s="126"/>
      <c r="J484" s="14"/>
    </row>
    <row r="485" spans="1:10" ht="30" customHeight="1" x14ac:dyDescent="0.2">
      <c r="A485" s="132"/>
      <c r="B485" s="183" t="s">
        <v>286</v>
      </c>
      <c r="C485" s="122">
        <f>SUM(C486:C488)</f>
        <v>12515000</v>
      </c>
      <c r="D485" s="122">
        <f>SUM(D486:D488)</f>
        <v>12594439.699999999</v>
      </c>
      <c r="E485" s="122"/>
      <c r="F485" s="122"/>
      <c r="G485" s="120"/>
      <c r="H485" s="120"/>
      <c r="I485" s="120"/>
      <c r="J485" s="14"/>
    </row>
    <row r="486" spans="1:10" ht="30" customHeight="1" x14ac:dyDescent="0.2">
      <c r="A486" s="132"/>
      <c r="B486" s="183" t="s">
        <v>285</v>
      </c>
      <c r="C486" s="126">
        <v>3375000</v>
      </c>
      <c r="D486" s="126">
        <f>3375000+(68450.27+1163654.63)-80000</f>
        <v>4527104.9000000004</v>
      </c>
      <c r="E486" s="117"/>
      <c r="F486" s="117"/>
      <c r="G486" s="126"/>
      <c r="H486" s="126"/>
      <c r="I486" s="126"/>
      <c r="J486" s="14"/>
    </row>
    <row r="487" spans="1:10" ht="30" customHeight="1" x14ac:dyDescent="0.2">
      <c r="A487" s="132"/>
      <c r="B487" s="183" t="s">
        <v>284</v>
      </c>
      <c r="C487" s="126">
        <f>(4600+2600+500+400)*1000</f>
        <v>8100000</v>
      </c>
      <c r="D487" s="126">
        <f>((4600+2600+500+400)*1000)-2000000</f>
        <v>6100000</v>
      </c>
      <c r="E487" s="487"/>
      <c r="F487" s="487"/>
      <c r="G487" s="126"/>
      <c r="H487" s="126"/>
      <c r="I487" s="126"/>
      <c r="J487" s="6"/>
    </row>
    <row r="488" spans="1:10" ht="30" customHeight="1" x14ac:dyDescent="0.2">
      <c r="A488" s="132"/>
      <c r="B488" s="183" t="s">
        <v>283</v>
      </c>
      <c r="C488" s="126">
        <f>+(600+600-160)*1000</f>
        <v>1040000</v>
      </c>
      <c r="D488" s="126">
        <f>((600+600-160)*1000)+(51518.6+875816.2)</f>
        <v>1967334.7999999998</v>
      </c>
      <c r="E488" s="133"/>
      <c r="F488" s="133"/>
      <c r="G488" s="126"/>
      <c r="H488" s="126"/>
      <c r="I488" s="126"/>
      <c r="J488" s="6"/>
    </row>
    <row r="489" spans="1:10" ht="30" customHeight="1" x14ac:dyDescent="0.2">
      <c r="A489" s="132"/>
      <c r="B489" s="183"/>
      <c r="C489" s="120"/>
      <c r="D489" s="120"/>
      <c r="E489" s="130"/>
      <c r="F489" s="130"/>
      <c r="G489" s="126"/>
      <c r="H489" s="126"/>
      <c r="I489" s="126"/>
      <c r="J489" s="6"/>
    </row>
    <row r="490" spans="1:10" ht="30" customHeight="1" x14ac:dyDescent="0.2">
      <c r="A490" s="132"/>
      <c r="B490" s="183" t="s">
        <v>282</v>
      </c>
      <c r="C490" s="122">
        <f>SUM(C491:C493)</f>
        <v>6693000</v>
      </c>
      <c r="D490" s="122">
        <f>SUM(D491:D493)</f>
        <v>7888466</v>
      </c>
      <c r="E490" s="134"/>
      <c r="F490" s="134"/>
      <c r="G490" s="120"/>
      <c r="H490" s="120"/>
      <c r="I490" s="120"/>
      <c r="J490" s="6"/>
    </row>
    <row r="491" spans="1:10" ht="30" customHeight="1" x14ac:dyDescent="0.2">
      <c r="A491" s="132"/>
      <c r="B491" s="183" t="s">
        <v>281</v>
      </c>
      <c r="C491" s="126">
        <v>5053000</v>
      </c>
      <c r="D491" s="126">
        <f>5053000-40000+(169419.91+960046.09)+106000</f>
        <v>6248466</v>
      </c>
      <c r="E491" s="130"/>
      <c r="F491" s="130"/>
      <c r="G491" s="126"/>
      <c r="H491" s="130"/>
      <c r="I491" s="130"/>
      <c r="J491" s="14"/>
    </row>
    <row r="492" spans="1:10" ht="30" customHeight="1" x14ac:dyDescent="0.2">
      <c r="A492" s="132"/>
      <c r="B492" s="183" t="s">
        <v>280</v>
      </c>
      <c r="C492" s="126">
        <v>200000</v>
      </c>
      <c r="D492" s="126">
        <v>200000</v>
      </c>
      <c r="E492" s="126"/>
      <c r="F492" s="126"/>
      <c r="G492" s="126"/>
      <c r="H492" s="126"/>
      <c r="I492" s="126"/>
      <c r="J492" s="14"/>
    </row>
    <row r="493" spans="1:10" ht="30" customHeight="1" x14ac:dyDescent="0.2">
      <c r="A493" s="132"/>
      <c r="B493" s="183" t="s">
        <v>279</v>
      </c>
      <c r="C493" s="126">
        <f>(320+1250-130)*1000</f>
        <v>1440000</v>
      </c>
      <c r="D493" s="126">
        <f>(320+1250-130)*1000</f>
        <v>1440000</v>
      </c>
      <c r="E493" s="130"/>
      <c r="F493" s="130"/>
      <c r="G493" s="126"/>
      <c r="H493" s="126"/>
      <c r="I493" s="126"/>
      <c r="J493" s="6"/>
    </row>
    <row r="494" spans="1:10" ht="30" customHeight="1" x14ac:dyDescent="0.2">
      <c r="A494" s="132"/>
      <c r="B494" s="183"/>
      <c r="C494" s="126"/>
      <c r="D494" s="126"/>
      <c r="E494" s="117"/>
      <c r="F494" s="117"/>
      <c r="G494" s="126"/>
      <c r="H494" s="151"/>
      <c r="I494" s="151"/>
      <c r="J494" s="6"/>
    </row>
    <row r="495" spans="1:10" ht="30" customHeight="1" x14ac:dyDescent="0.2">
      <c r="A495" s="124">
        <v>3233</v>
      </c>
      <c r="B495" s="203" t="s">
        <v>278</v>
      </c>
      <c r="C495" s="122">
        <f>C496</f>
        <v>21896811.300000001</v>
      </c>
      <c r="D495" s="122">
        <f>D496</f>
        <v>21919111.300000001</v>
      </c>
      <c r="E495" s="122"/>
      <c r="F495" s="127"/>
      <c r="G495" s="120"/>
      <c r="H495" s="121"/>
      <c r="I495" s="121"/>
      <c r="J495" s="14"/>
    </row>
    <row r="496" spans="1:10" ht="30" customHeight="1" x14ac:dyDescent="0.2">
      <c r="A496" s="124"/>
      <c r="B496" s="183" t="s">
        <v>277</v>
      </c>
      <c r="C496" s="204">
        <f>SUM(C497:C499)</f>
        <v>21896811.300000001</v>
      </c>
      <c r="D496" s="204">
        <f>SUM(D497:D499)</f>
        <v>21919111.300000001</v>
      </c>
      <c r="E496" s="126"/>
      <c r="F496" s="126"/>
      <c r="G496" s="126"/>
      <c r="H496" s="126"/>
      <c r="I496" s="126"/>
      <c r="J496" s="6"/>
    </row>
    <row r="497" spans="1:10" ht="30" customHeight="1" x14ac:dyDescent="0.2">
      <c r="A497" s="124"/>
      <c r="B497" s="183" t="s">
        <v>276</v>
      </c>
      <c r="C497" s="126">
        <v>1512000</v>
      </c>
      <c r="D497" s="126">
        <f>1512000-40000+62300</f>
        <v>1534300</v>
      </c>
      <c r="E497" s="127"/>
      <c r="F497" s="127"/>
      <c r="G497" s="126"/>
      <c r="H497" s="126"/>
      <c r="I497" s="126"/>
      <c r="J497" s="6"/>
    </row>
    <row r="498" spans="1:10" ht="30" customHeight="1" x14ac:dyDescent="0.2">
      <c r="A498" s="124"/>
      <c r="B498" s="183" t="s">
        <v>275</v>
      </c>
      <c r="C498" s="126">
        <v>150000</v>
      </c>
      <c r="D498" s="126">
        <v>150000</v>
      </c>
      <c r="E498" s="130"/>
      <c r="F498" s="130"/>
      <c r="G498" s="126"/>
      <c r="H498" s="126"/>
      <c r="I498" s="126"/>
      <c r="J498" s="6"/>
    </row>
    <row r="499" spans="1:10" ht="30" customHeight="1" x14ac:dyDescent="0.2">
      <c r="A499" s="124"/>
      <c r="B499" s="183" t="s">
        <v>274</v>
      </c>
      <c r="C499" s="126">
        <v>20234811.300000001</v>
      </c>
      <c r="D499" s="126">
        <v>20234811.300000001</v>
      </c>
      <c r="E499" s="130"/>
      <c r="F499" s="130"/>
      <c r="G499" s="126"/>
      <c r="H499" s="126"/>
      <c r="I499" s="126"/>
      <c r="J499" s="6"/>
    </row>
    <row r="500" spans="1:10" s="3" customFormat="1" ht="30" customHeight="1" thickBot="1" x14ac:dyDescent="0.25">
      <c r="A500" s="124">
        <v>3419</v>
      </c>
      <c r="B500" s="203" t="s">
        <v>273</v>
      </c>
      <c r="C500" s="120">
        <v>80000</v>
      </c>
      <c r="D500" s="120">
        <v>80000</v>
      </c>
      <c r="E500" s="521"/>
      <c r="F500" s="152"/>
      <c r="G500" s="120"/>
      <c r="H500" s="486"/>
      <c r="I500" s="486"/>
      <c r="J500" s="6"/>
    </row>
    <row r="501" spans="1:10" s="3" customFormat="1" ht="30" customHeight="1" thickBot="1" x14ac:dyDescent="0.3">
      <c r="A501" s="140"/>
      <c r="B501" s="202" t="s">
        <v>272</v>
      </c>
      <c r="C501" s="157">
        <f>SUM(C502,C505,C508,C512,C515,C522)</f>
        <v>63946000</v>
      </c>
      <c r="D501" s="157">
        <f>SUM(D502,D505,D508,D512,D515,D522)</f>
        <v>66382479</v>
      </c>
      <c r="E501" s="479"/>
      <c r="F501" s="536"/>
      <c r="G501" s="479"/>
      <c r="H501" s="479"/>
      <c r="I501" s="479"/>
      <c r="J501" s="14"/>
    </row>
    <row r="502" spans="1:10" s="3" customFormat="1" ht="30" customHeight="1" x14ac:dyDescent="0.2">
      <c r="A502" s="200">
        <v>3311</v>
      </c>
      <c r="B502" s="199" t="s">
        <v>271</v>
      </c>
      <c r="C502" s="136">
        <f>SUM(C503:C504)</f>
        <v>35844000</v>
      </c>
      <c r="D502" s="136">
        <f>SUM(D503:D504)</f>
        <v>33769236</v>
      </c>
      <c r="E502" s="136"/>
      <c r="F502" s="136"/>
      <c r="G502" s="120"/>
      <c r="H502" s="120"/>
      <c r="I502" s="120"/>
      <c r="J502" s="6"/>
    </row>
    <row r="503" spans="1:10" s="3" customFormat="1" ht="30" customHeight="1" x14ac:dyDescent="0.2">
      <c r="A503" s="191"/>
      <c r="B503" s="190" t="s">
        <v>270</v>
      </c>
      <c r="C503" s="126">
        <v>12044000</v>
      </c>
      <c r="D503" s="126">
        <f>12044000+25236-100000</f>
        <v>11969236</v>
      </c>
      <c r="E503" s="130"/>
      <c r="F503" s="130"/>
      <c r="G503" s="126"/>
      <c r="H503" s="126"/>
      <c r="I503" s="126"/>
      <c r="J503" s="6"/>
    </row>
    <row r="504" spans="1:10" s="3" customFormat="1" ht="30" customHeight="1" x14ac:dyDescent="0.2">
      <c r="A504" s="191"/>
      <c r="B504" s="194" t="s">
        <v>269</v>
      </c>
      <c r="C504" s="126">
        <f>+(20000+4000-200)*1000</f>
        <v>23800000</v>
      </c>
      <c r="D504" s="126">
        <f>((20000+4000-200)*1000)-2000000</f>
        <v>21800000</v>
      </c>
      <c r="E504" s="130"/>
      <c r="F504" s="130"/>
      <c r="G504" s="126"/>
      <c r="H504" s="126"/>
      <c r="I504" s="126"/>
      <c r="J504" s="6"/>
    </row>
    <row r="505" spans="1:10" ht="30" customHeight="1" x14ac:dyDescent="0.2">
      <c r="A505" s="193">
        <v>3319</v>
      </c>
      <c r="B505" s="198" t="s">
        <v>268</v>
      </c>
      <c r="C505" s="121">
        <f>SUM(C506:C507)</f>
        <v>1017000</v>
      </c>
      <c r="D505" s="121">
        <f>SUM(D506:D507)</f>
        <v>1017000</v>
      </c>
      <c r="E505" s="121"/>
      <c r="F505" s="121"/>
      <c r="G505" s="120"/>
      <c r="H505" s="120"/>
      <c r="I505" s="120"/>
      <c r="J505" s="6"/>
    </row>
    <row r="506" spans="1:10" ht="30" customHeight="1" x14ac:dyDescent="0.2">
      <c r="A506" s="193"/>
      <c r="B506" s="197" t="s">
        <v>267</v>
      </c>
      <c r="C506" s="126">
        <f>417000+5000</f>
        <v>422000</v>
      </c>
      <c r="D506" s="126">
        <f>417000+5000</f>
        <v>422000</v>
      </c>
      <c r="E506" s="130"/>
      <c r="F506" s="130"/>
      <c r="G506" s="126"/>
      <c r="H506" s="126"/>
      <c r="I506" s="126"/>
      <c r="J506" s="6"/>
    </row>
    <row r="507" spans="1:10" ht="30" customHeight="1" x14ac:dyDescent="0.2">
      <c r="A507" s="193"/>
      <c r="B507" s="197" t="s">
        <v>266</v>
      </c>
      <c r="C507" s="126">
        <v>595000</v>
      </c>
      <c r="D507" s="126">
        <v>595000</v>
      </c>
      <c r="E507" s="130"/>
      <c r="F507" s="130"/>
      <c r="G507" s="126"/>
      <c r="H507" s="126"/>
      <c r="I507" s="126"/>
      <c r="J507" s="171"/>
    </row>
    <row r="508" spans="1:10" ht="30" customHeight="1" x14ac:dyDescent="0.2">
      <c r="A508" s="193">
        <v>3322</v>
      </c>
      <c r="B508" s="198" t="s">
        <v>265</v>
      </c>
      <c r="C508" s="122">
        <f>SUM(C509:C511)</f>
        <v>332000</v>
      </c>
      <c r="D508" s="122">
        <f>SUM(D509:D511)</f>
        <v>332000</v>
      </c>
      <c r="E508" s="122"/>
      <c r="F508" s="122"/>
      <c r="G508" s="120"/>
      <c r="H508" s="120"/>
      <c r="I508" s="120"/>
      <c r="J508" s="6"/>
    </row>
    <row r="509" spans="1:10" ht="30" customHeight="1" x14ac:dyDescent="0.2">
      <c r="A509" s="191"/>
      <c r="B509" s="197" t="s">
        <v>264</v>
      </c>
      <c r="C509" s="126">
        <v>10000</v>
      </c>
      <c r="D509" s="126">
        <v>10000</v>
      </c>
      <c r="E509" s="295"/>
      <c r="F509" s="295"/>
      <c r="G509" s="126"/>
      <c r="H509" s="126"/>
      <c r="I509" s="126"/>
      <c r="J509" s="14"/>
    </row>
    <row r="510" spans="1:10" ht="30" customHeight="1" x14ac:dyDescent="0.2">
      <c r="A510" s="191"/>
      <c r="B510" s="190" t="s">
        <v>263</v>
      </c>
      <c r="C510" s="126">
        <v>42000</v>
      </c>
      <c r="D510" s="126">
        <v>42000</v>
      </c>
      <c r="E510" s="130"/>
      <c r="F510" s="130"/>
      <c r="G510" s="126"/>
      <c r="H510" s="130"/>
      <c r="I510" s="126"/>
      <c r="J510" s="14"/>
    </row>
    <row r="511" spans="1:10" s="3" customFormat="1" ht="30" customHeight="1" x14ac:dyDescent="0.2">
      <c r="A511" s="191"/>
      <c r="B511" s="190" t="s">
        <v>262</v>
      </c>
      <c r="C511" s="126">
        <v>280000</v>
      </c>
      <c r="D511" s="126">
        <v>280000</v>
      </c>
      <c r="E511" s="126"/>
      <c r="F511" s="126"/>
      <c r="G511" s="126"/>
      <c r="H511" s="126"/>
      <c r="I511" s="126"/>
      <c r="J511" s="6"/>
    </row>
    <row r="512" spans="1:10" s="3" customFormat="1" ht="30" customHeight="1" x14ac:dyDescent="0.2">
      <c r="A512" s="193">
        <v>3326</v>
      </c>
      <c r="B512" s="192" t="s">
        <v>261</v>
      </c>
      <c r="C512" s="122">
        <f>SUM(C513:C514)</f>
        <v>341000</v>
      </c>
      <c r="D512" s="122">
        <f>SUM(D513:D514)</f>
        <v>341000</v>
      </c>
      <c r="E512" s="121"/>
      <c r="F512" s="130"/>
      <c r="G512" s="120"/>
      <c r="H512" s="120"/>
      <c r="I512" s="120"/>
      <c r="J512" s="14"/>
    </row>
    <row r="513" spans="1:10" s="3" customFormat="1" ht="30" customHeight="1" x14ac:dyDescent="0.2">
      <c r="A513" s="191"/>
      <c r="B513" s="190" t="s">
        <v>791</v>
      </c>
      <c r="C513" s="126">
        <v>338000</v>
      </c>
      <c r="D513" s="126">
        <v>338000</v>
      </c>
      <c r="E513" s="130"/>
      <c r="F513" s="130"/>
      <c r="G513" s="126"/>
      <c r="H513" s="126"/>
      <c r="I513" s="126"/>
      <c r="J513" s="6"/>
    </row>
    <row r="514" spans="1:10" s="3" customFormat="1" ht="30" customHeight="1" x14ac:dyDescent="0.2">
      <c r="A514" s="191"/>
      <c r="B514" s="190" t="s">
        <v>260</v>
      </c>
      <c r="C514" s="126">
        <v>3000</v>
      </c>
      <c r="D514" s="126">
        <v>3000</v>
      </c>
      <c r="E514" s="130"/>
      <c r="F514" s="130"/>
      <c r="G514" s="126"/>
      <c r="H514" s="126"/>
      <c r="I514" s="126"/>
      <c r="J514" s="14"/>
    </row>
    <row r="515" spans="1:10" ht="30" customHeight="1" x14ac:dyDescent="0.2">
      <c r="A515" s="193">
        <v>3392</v>
      </c>
      <c r="B515" s="192" t="s">
        <v>259</v>
      </c>
      <c r="C515" s="122">
        <f>C517+C516</f>
        <v>26232000</v>
      </c>
      <c r="D515" s="122">
        <f>D517+D516</f>
        <v>30743243</v>
      </c>
      <c r="E515" s="121"/>
      <c r="F515" s="121"/>
      <c r="G515" s="120"/>
      <c r="H515" s="120"/>
      <c r="I515" s="120"/>
      <c r="J515" s="6"/>
    </row>
    <row r="516" spans="1:10" ht="30" customHeight="1" x14ac:dyDescent="0.2">
      <c r="A516" s="193"/>
      <c r="B516" s="190" t="s">
        <v>258</v>
      </c>
      <c r="C516" s="126">
        <v>26000</v>
      </c>
      <c r="D516" s="126">
        <v>26000</v>
      </c>
      <c r="E516" s="130"/>
      <c r="F516" s="130"/>
      <c r="G516" s="126"/>
      <c r="H516" s="126"/>
      <c r="I516" s="126"/>
      <c r="J516" s="6"/>
    </row>
    <row r="517" spans="1:10" ht="30" customHeight="1" x14ac:dyDescent="0.2">
      <c r="A517" s="191"/>
      <c r="B517" s="190" t="s">
        <v>257</v>
      </c>
      <c r="C517" s="122">
        <f>SUM(C518+C521+C520)</f>
        <v>26206000</v>
      </c>
      <c r="D517" s="122">
        <f>SUM(D518+D521+D520)</f>
        <v>30717243</v>
      </c>
      <c r="E517" s="121"/>
      <c r="F517" s="121"/>
      <c r="G517" s="120"/>
      <c r="H517" s="120"/>
      <c r="I517" s="120"/>
      <c r="J517" s="6"/>
    </row>
    <row r="518" spans="1:10" ht="30" customHeight="1" x14ac:dyDescent="0.2">
      <c r="A518" s="191"/>
      <c r="B518" s="190" t="s">
        <v>256</v>
      </c>
      <c r="C518" s="126">
        <v>24300000</v>
      </c>
      <c r="D518" s="126">
        <f>24300000+4123000-250000+830000+100000+(-300000-330000)</f>
        <v>28473000</v>
      </c>
      <c r="E518" s="130"/>
      <c r="F518" s="130"/>
      <c r="G518" s="126"/>
      <c r="H518" s="130"/>
      <c r="I518" s="130"/>
      <c r="J518" s="6"/>
    </row>
    <row r="519" spans="1:10" ht="30" customHeight="1" x14ac:dyDescent="0.2">
      <c r="A519" s="191"/>
      <c r="B519" s="190" t="s">
        <v>255</v>
      </c>
      <c r="C519" s="126"/>
      <c r="D519" s="126"/>
      <c r="E519" s="538"/>
      <c r="F519" s="130"/>
      <c r="G519" s="126"/>
      <c r="H519" s="510"/>
      <c r="I519" s="130"/>
      <c r="J519" s="6"/>
    </row>
    <row r="520" spans="1:10" s="3" customFormat="1" ht="30" customHeight="1" x14ac:dyDescent="0.2">
      <c r="A520" s="191"/>
      <c r="B520" s="194" t="s">
        <v>254</v>
      </c>
      <c r="C520" s="126">
        <v>773000</v>
      </c>
      <c r="D520" s="126">
        <f>773000-32201</f>
        <v>740799</v>
      </c>
      <c r="E520" s="126"/>
      <c r="F520" s="126"/>
      <c r="G520" s="126"/>
      <c r="H520" s="126"/>
      <c r="I520" s="130"/>
      <c r="J520" s="6"/>
    </row>
    <row r="521" spans="1:10" s="3" customFormat="1" ht="48.75" x14ac:dyDescent="0.2">
      <c r="A521" s="191"/>
      <c r="B521" s="190" t="s">
        <v>253</v>
      </c>
      <c r="C521" s="126">
        <f>+(415+351+130+310+313+57+157-600)*1000</f>
        <v>1133000</v>
      </c>
      <c r="D521" s="126">
        <f>((415+351+130+310+313+57+157-600)*1000)+330000+8243+32201</f>
        <v>1503444</v>
      </c>
      <c r="E521" s="130"/>
      <c r="F521" s="130"/>
      <c r="G521" s="126"/>
      <c r="H521" s="126"/>
      <c r="I521" s="130"/>
      <c r="J521" s="6"/>
    </row>
    <row r="522" spans="1:10" ht="30" customHeight="1" x14ac:dyDescent="0.2">
      <c r="A522" s="193">
        <v>3399</v>
      </c>
      <c r="B522" s="192" t="s">
        <v>252</v>
      </c>
      <c r="C522" s="122">
        <f>C523</f>
        <v>180000</v>
      </c>
      <c r="D522" s="122">
        <f>D523</f>
        <v>180000</v>
      </c>
      <c r="E522" s="121"/>
      <c r="F522" s="130"/>
      <c r="G522" s="120"/>
      <c r="H522" s="120"/>
      <c r="I522" s="120"/>
      <c r="J522" s="162"/>
    </row>
    <row r="523" spans="1:10" ht="30" customHeight="1" thickBot="1" x14ac:dyDescent="0.25">
      <c r="A523" s="191"/>
      <c r="B523" s="190" t="s">
        <v>251</v>
      </c>
      <c r="C523" s="126">
        <v>180000</v>
      </c>
      <c r="D523" s="126">
        <v>180000</v>
      </c>
      <c r="E523" s="151"/>
      <c r="F523" s="151"/>
      <c r="G523" s="126"/>
      <c r="H523" s="151"/>
      <c r="I523" s="151"/>
      <c r="J523" s="129"/>
    </row>
    <row r="524" spans="1:10" ht="30" customHeight="1" thickBot="1" x14ac:dyDescent="0.3">
      <c r="A524" s="140"/>
      <c r="B524" s="158" t="s">
        <v>250</v>
      </c>
      <c r="C524" s="189">
        <f>C525</f>
        <v>17576816</v>
      </c>
      <c r="D524" s="189">
        <f>D525</f>
        <v>18637285</v>
      </c>
      <c r="E524" s="479"/>
      <c r="F524" s="479"/>
      <c r="G524" s="479"/>
      <c r="H524" s="479"/>
      <c r="I524" s="479"/>
      <c r="J524" s="129"/>
    </row>
    <row r="525" spans="1:10" ht="30" customHeight="1" x14ac:dyDescent="0.2">
      <c r="A525" s="124"/>
      <c r="B525" s="188" t="s">
        <v>249</v>
      </c>
      <c r="C525" s="187">
        <f>SUM(C526:C534)</f>
        <v>17576816</v>
      </c>
      <c r="D525" s="187">
        <f>SUM(D526:D534)</f>
        <v>18637285</v>
      </c>
      <c r="E525" s="120"/>
      <c r="F525" s="120"/>
      <c r="G525" s="120"/>
      <c r="H525" s="120"/>
      <c r="I525" s="120"/>
      <c r="J525" s="14"/>
    </row>
    <row r="526" spans="1:10" s="3" customFormat="1" ht="30" customHeight="1" x14ac:dyDescent="0.2">
      <c r="A526" s="132"/>
      <c r="B526" s="183" t="s">
        <v>248</v>
      </c>
      <c r="C526" s="126">
        <v>893000</v>
      </c>
      <c r="D526" s="126">
        <v>893000</v>
      </c>
      <c r="E526" s="130"/>
      <c r="F526" s="130"/>
      <c r="G526" s="126"/>
      <c r="H526" s="126"/>
      <c r="I526" s="126"/>
      <c r="J526" s="14"/>
    </row>
    <row r="527" spans="1:10" s="3" customFormat="1" ht="30" customHeight="1" x14ac:dyDescent="0.2">
      <c r="A527" s="132"/>
      <c r="B527" s="183" t="s">
        <v>247</v>
      </c>
      <c r="C527" s="126">
        <v>297000</v>
      </c>
      <c r="D527" s="126">
        <v>297000</v>
      </c>
      <c r="E527" s="104"/>
      <c r="F527" s="104"/>
      <c r="G527" s="126"/>
      <c r="H527" s="126"/>
      <c r="I527" s="126"/>
      <c r="J527" s="6"/>
    </row>
    <row r="528" spans="1:10" s="3" customFormat="1" ht="30" customHeight="1" x14ac:dyDescent="0.2">
      <c r="A528" s="132"/>
      <c r="B528" s="183" t="s">
        <v>246</v>
      </c>
      <c r="C528" s="126">
        <v>3029270</v>
      </c>
      <c r="D528" s="126">
        <v>3029270</v>
      </c>
      <c r="E528" s="126"/>
      <c r="F528" s="126"/>
      <c r="G528" s="126"/>
      <c r="H528" s="126"/>
      <c r="I528" s="126"/>
      <c r="J528" s="6"/>
    </row>
    <row r="529" spans="1:10" ht="30" customHeight="1" x14ac:dyDescent="0.2">
      <c r="A529" s="132"/>
      <c r="B529" s="183" t="s">
        <v>245</v>
      </c>
      <c r="C529" s="126">
        <v>5469340</v>
      </c>
      <c r="D529" s="126">
        <v>5469340</v>
      </c>
      <c r="E529" s="130"/>
      <c r="F529" s="130"/>
      <c r="G529" s="126"/>
      <c r="H529" s="126"/>
      <c r="I529" s="126"/>
      <c r="J529" s="6"/>
    </row>
    <row r="530" spans="1:10" ht="30" customHeight="1" x14ac:dyDescent="0.2">
      <c r="A530" s="132"/>
      <c r="B530" s="183" t="s">
        <v>244</v>
      </c>
      <c r="C530" s="126">
        <v>40000</v>
      </c>
      <c r="D530" s="126">
        <v>40000</v>
      </c>
      <c r="E530" s="130"/>
      <c r="F530" s="130"/>
      <c r="G530" s="126"/>
      <c r="H530" s="126"/>
      <c r="I530" s="126"/>
      <c r="J530" s="6"/>
    </row>
    <row r="531" spans="1:10" ht="30" customHeight="1" x14ac:dyDescent="0.2">
      <c r="A531" s="132"/>
      <c r="B531" s="183" t="s">
        <v>243</v>
      </c>
      <c r="C531" s="126">
        <v>6500000</v>
      </c>
      <c r="D531" s="126">
        <v>6500000</v>
      </c>
      <c r="E531" s="130"/>
      <c r="F531" s="130"/>
      <c r="G531" s="126"/>
      <c r="H531" s="126"/>
      <c r="I531" s="126"/>
      <c r="J531" s="6"/>
    </row>
    <row r="532" spans="1:10" ht="30" customHeight="1" x14ac:dyDescent="0.2">
      <c r="A532" s="185"/>
      <c r="B532" s="183" t="s">
        <v>242</v>
      </c>
      <c r="C532" s="126">
        <v>666000</v>
      </c>
      <c r="D532" s="126">
        <v>666000</v>
      </c>
      <c r="E532" s="126"/>
      <c r="F532" s="126"/>
      <c r="G532" s="126"/>
      <c r="H532" s="126"/>
      <c r="I532" s="126"/>
      <c r="J532" s="14"/>
    </row>
    <row r="533" spans="1:10" ht="30" customHeight="1" x14ac:dyDescent="0.2">
      <c r="A533" s="185"/>
      <c r="B533" s="183" t="s">
        <v>241</v>
      </c>
      <c r="C533" s="126">
        <v>84000</v>
      </c>
      <c r="D533" s="126">
        <v>84000</v>
      </c>
      <c r="E533" s="127"/>
      <c r="F533" s="127"/>
      <c r="G533" s="126"/>
      <c r="H533" s="126"/>
      <c r="I533" s="126"/>
      <c r="J533" s="6"/>
    </row>
    <row r="534" spans="1:10" ht="37.5" thickBot="1" x14ac:dyDescent="0.25">
      <c r="A534" s="184"/>
      <c r="B534" s="183" t="s">
        <v>240</v>
      </c>
      <c r="C534" s="126">
        <v>598206</v>
      </c>
      <c r="D534" s="126">
        <f>598206+500000+79385+267145+213939</f>
        <v>1658675</v>
      </c>
      <c r="E534" s="117"/>
      <c r="F534" s="117"/>
      <c r="G534" s="126"/>
      <c r="H534" s="151"/>
      <c r="I534" s="126"/>
      <c r="J534" s="6"/>
    </row>
    <row r="535" spans="1:10" ht="30" customHeight="1" thickBot="1" x14ac:dyDescent="0.35">
      <c r="A535" s="140"/>
      <c r="B535" s="139" t="s">
        <v>239</v>
      </c>
      <c r="C535" s="181">
        <f>SUM(C537)</f>
        <v>24084500</v>
      </c>
      <c r="D535" s="181">
        <f>SUM(D537)</f>
        <v>24084500</v>
      </c>
      <c r="E535" s="181"/>
      <c r="F535" s="181"/>
      <c r="G535" s="571"/>
      <c r="H535" s="181"/>
      <c r="I535" s="181"/>
      <c r="J535" s="14"/>
    </row>
    <row r="536" spans="1:10" ht="30" customHeight="1" x14ac:dyDescent="0.2">
      <c r="A536" s="124">
        <v>5311</v>
      </c>
      <c r="B536" s="180" t="s">
        <v>238</v>
      </c>
      <c r="C536" s="120">
        <f>SUM(C537)</f>
        <v>24084500</v>
      </c>
      <c r="D536" s="120">
        <f>SUM(D537)</f>
        <v>24084500</v>
      </c>
      <c r="E536" s="120"/>
      <c r="F536" s="120"/>
      <c r="G536" s="120"/>
      <c r="H536" s="120"/>
      <c r="I536" s="120"/>
      <c r="J536" s="6"/>
    </row>
    <row r="537" spans="1:10" ht="62.25" x14ac:dyDescent="0.2">
      <c r="A537" s="124"/>
      <c r="B537" s="179" t="s">
        <v>237</v>
      </c>
      <c r="C537" s="126">
        <f>(16000+3968+1440+2+275+1+101+127.5+10+240+1+242+30+3+27+2+579+283+80+7+50+10+100+6+500)*1000</f>
        <v>24084500</v>
      </c>
      <c r="D537" s="126">
        <f>(16000+3968+1440+2+275+1+101+127.5+10+240+1+242+30+3+27+2+579+283+80+7+50+10+100+6+500)*1000</f>
        <v>24084500</v>
      </c>
      <c r="E537" s="130"/>
      <c r="F537" s="130"/>
      <c r="G537" s="126"/>
      <c r="H537" s="126"/>
      <c r="I537" s="126"/>
      <c r="J537" s="6"/>
    </row>
    <row r="538" spans="1:10" ht="30" customHeight="1" thickBot="1" x14ac:dyDescent="0.25">
      <c r="A538" s="143"/>
      <c r="B538" s="178"/>
      <c r="C538" s="151"/>
      <c r="D538" s="151"/>
      <c r="E538" s="117"/>
      <c r="F538" s="117"/>
      <c r="G538" s="151"/>
      <c r="H538" s="151"/>
      <c r="I538" s="151"/>
      <c r="J538" s="6"/>
    </row>
    <row r="539" spans="1:10" ht="30" customHeight="1" thickBot="1" x14ac:dyDescent="0.35">
      <c r="A539" s="140"/>
      <c r="B539" s="139" t="s">
        <v>236</v>
      </c>
      <c r="C539" s="176">
        <f>SUM(C540:C545)+C554</f>
        <v>34895800</v>
      </c>
      <c r="D539" s="176">
        <f>SUM(D540:D545)+D554</f>
        <v>35062237.5</v>
      </c>
      <c r="E539" s="181"/>
      <c r="F539" s="181"/>
      <c r="G539" s="571"/>
      <c r="H539" s="181"/>
      <c r="I539" s="181"/>
      <c r="J539" s="14"/>
    </row>
    <row r="540" spans="1:10" s="3" customFormat="1" ht="36.75" x14ac:dyDescent="0.2">
      <c r="A540" s="138">
        <v>5212</v>
      </c>
      <c r="B540" s="175" t="s">
        <v>235</v>
      </c>
      <c r="C540" s="120">
        <v>169000</v>
      </c>
      <c r="D540" s="120">
        <v>169000</v>
      </c>
      <c r="E540" s="120"/>
      <c r="F540" s="126"/>
      <c r="G540" s="120"/>
      <c r="H540" s="120"/>
      <c r="I540" s="120"/>
      <c r="J540" s="6"/>
    </row>
    <row r="541" spans="1:10" s="17" customFormat="1" ht="36.75" x14ac:dyDescent="0.25">
      <c r="A541" s="124">
        <v>5213</v>
      </c>
      <c r="B541" s="135" t="s">
        <v>234</v>
      </c>
      <c r="C541" s="120">
        <v>300000</v>
      </c>
      <c r="D541" s="120">
        <v>300000</v>
      </c>
      <c r="E541" s="121"/>
      <c r="F541" s="130"/>
      <c r="G541" s="120"/>
      <c r="H541" s="120"/>
      <c r="I541" s="120"/>
      <c r="J541" s="6"/>
    </row>
    <row r="542" spans="1:10" s="3" customFormat="1" ht="24.75" x14ac:dyDescent="0.2">
      <c r="A542" s="124">
        <v>5273</v>
      </c>
      <c r="B542" s="135" t="s">
        <v>233</v>
      </c>
      <c r="C542" s="120">
        <v>5000</v>
      </c>
      <c r="D542" s="120">
        <v>5000</v>
      </c>
      <c r="E542" s="121"/>
      <c r="F542" s="121"/>
      <c r="G542" s="120"/>
      <c r="H542" s="120"/>
      <c r="I542" s="120"/>
      <c r="J542" s="6"/>
    </row>
    <row r="543" spans="1:10" s="17" customFormat="1" ht="30" customHeight="1" x14ac:dyDescent="0.25">
      <c r="A543" s="124">
        <v>5511</v>
      </c>
      <c r="B543" s="135" t="s">
        <v>232</v>
      </c>
      <c r="C543" s="120">
        <v>1800000</v>
      </c>
      <c r="D543" s="120">
        <v>1800000</v>
      </c>
      <c r="E543" s="134"/>
      <c r="F543" s="134"/>
      <c r="G543" s="120"/>
      <c r="H543" s="120"/>
      <c r="I543" s="120"/>
      <c r="J543" s="14"/>
    </row>
    <row r="544" spans="1:10" s="17" customFormat="1" ht="36.75" x14ac:dyDescent="0.25">
      <c r="A544" s="124">
        <v>5512</v>
      </c>
      <c r="B544" s="135" t="s">
        <v>231</v>
      </c>
      <c r="C544" s="120">
        <v>332600</v>
      </c>
      <c r="D544" s="120">
        <v>332600</v>
      </c>
      <c r="E544" s="524"/>
      <c r="F544" s="525"/>
      <c r="G544" s="120"/>
      <c r="H544" s="510"/>
      <c r="I544" s="510"/>
      <c r="J544" s="6"/>
    </row>
    <row r="545" spans="1:10" s="17" customFormat="1" ht="30" customHeight="1" x14ac:dyDescent="0.25">
      <c r="A545" s="124">
        <v>6171</v>
      </c>
      <c r="B545" s="123" t="s">
        <v>219</v>
      </c>
      <c r="C545" s="122">
        <f>SUM(C546:C553)</f>
        <v>30939200</v>
      </c>
      <c r="D545" s="122">
        <f>SUM(D546:D553)</f>
        <v>31105637.5</v>
      </c>
      <c r="E545" s="522"/>
      <c r="F545" s="523"/>
      <c r="G545" s="120"/>
      <c r="H545" s="120"/>
      <c r="I545" s="120"/>
      <c r="J545" s="14"/>
    </row>
    <row r="546" spans="1:10" s="17" customFormat="1" ht="156" x14ac:dyDescent="0.25">
      <c r="A546" s="124"/>
      <c r="B546" s="172" t="s">
        <v>230</v>
      </c>
      <c r="C546" s="126">
        <f>21917200-1500000</f>
        <v>20417200</v>
      </c>
      <c r="D546" s="126">
        <f>(21917200-1500000)-400000</f>
        <v>20017200</v>
      </c>
      <c r="E546" s="126"/>
      <c r="F546" s="126"/>
      <c r="G546" s="126"/>
      <c r="H546" s="126"/>
      <c r="I546" s="126"/>
      <c r="J546" s="6"/>
    </row>
    <row r="547" spans="1:10" s="17" customFormat="1" ht="36" x14ac:dyDescent="0.25">
      <c r="A547" s="124"/>
      <c r="B547" s="174" t="s">
        <v>229</v>
      </c>
      <c r="C547" s="126">
        <v>480000</v>
      </c>
      <c r="D547" s="126">
        <v>480000</v>
      </c>
      <c r="E547" s="130"/>
      <c r="F547" s="130"/>
      <c r="G547" s="126"/>
      <c r="H547" s="126"/>
      <c r="I547" s="126"/>
      <c r="J547" s="6"/>
    </row>
    <row r="548" spans="1:10" s="3" customFormat="1" ht="48" x14ac:dyDescent="0.2">
      <c r="A548" s="132"/>
      <c r="B548" s="173" t="s">
        <v>228</v>
      </c>
      <c r="C548" s="126">
        <v>5977400</v>
      </c>
      <c r="D548" s="126">
        <v>5977400</v>
      </c>
      <c r="E548" s="130"/>
      <c r="F548" s="130"/>
      <c r="G548" s="126"/>
      <c r="H548" s="126"/>
      <c r="I548" s="126"/>
      <c r="J548" s="6"/>
    </row>
    <row r="549" spans="1:10" ht="30" customHeight="1" x14ac:dyDescent="0.2">
      <c r="A549" s="132"/>
      <c r="B549" s="172" t="s">
        <v>227</v>
      </c>
      <c r="C549" s="126">
        <v>3071000</v>
      </c>
      <c r="D549" s="126">
        <f>3071000+(59625+506812.5)</f>
        <v>3637437.5</v>
      </c>
      <c r="E549" s="127"/>
      <c r="F549" s="127"/>
      <c r="G549" s="126"/>
      <c r="H549" s="126"/>
      <c r="I549" s="126"/>
      <c r="J549" s="6"/>
    </row>
    <row r="550" spans="1:10" ht="36.75" x14ac:dyDescent="0.2">
      <c r="A550" s="132"/>
      <c r="B550" s="128" t="s">
        <v>226</v>
      </c>
      <c r="C550" s="126">
        <f>833000-300000</f>
        <v>533000</v>
      </c>
      <c r="D550" s="126">
        <f>833000-300000</f>
        <v>533000</v>
      </c>
      <c r="E550" s="127"/>
      <c r="F550" s="127"/>
      <c r="G550" s="126"/>
      <c r="H550" s="126"/>
      <c r="I550" s="126"/>
      <c r="J550" s="6"/>
    </row>
    <row r="551" spans="1:10" ht="30" customHeight="1" x14ac:dyDescent="0.2">
      <c r="A551" s="132"/>
      <c r="B551" s="155" t="s">
        <v>225</v>
      </c>
      <c r="C551" s="126">
        <v>200000</v>
      </c>
      <c r="D551" s="126">
        <v>200000</v>
      </c>
      <c r="E551" s="127"/>
      <c r="F551" s="127"/>
      <c r="G551" s="126"/>
      <c r="H551" s="126"/>
      <c r="I551" s="126"/>
      <c r="J551" s="14"/>
    </row>
    <row r="552" spans="1:10" ht="30" customHeight="1" x14ac:dyDescent="0.2">
      <c r="A552" s="132"/>
      <c r="B552" s="155" t="s">
        <v>224</v>
      </c>
      <c r="C552" s="126">
        <v>60000</v>
      </c>
      <c r="D552" s="126">
        <v>60000</v>
      </c>
      <c r="E552" s="130"/>
      <c r="F552" s="130"/>
      <c r="G552" s="126"/>
      <c r="H552" s="126"/>
      <c r="I552" s="126"/>
      <c r="J552" s="14"/>
    </row>
    <row r="553" spans="1:10" ht="30" customHeight="1" x14ac:dyDescent="0.2">
      <c r="A553" s="132"/>
      <c r="B553" s="128" t="s">
        <v>223</v>
      </c>
      <c r="C553" s="126">
        <v>200600</v>
      </c>
      <c r="D553" s="126">
        <v>200600</v>
      </c>
      <c r="E553" s="130"/>
      <c r="F553" s="130"/>
      <c r="G553" s="126"/>
      <c r="H553" s="126"/>
      <c r="I553" s="126"/>
      <c r="J553" s="6"/>
    </row>
    <row r="554" spans="1:10" ht="30" customHeight="1" x14ac:dyDescent="0.2">
      <c r="A554" s="124">
        <v>6320</v>
      </c>
      <c r="B554" s="123" t="s">
        <v>222</v>
      </c>
      <c r="C554" s="120">
        <v>1350000</v>
      </c>
      <c r="D554" s="120">
        <v>1350000</v>
      </c>
      <c r="E554" s="121"/>
      <c r="F554" s="121"/>
      <c r="G554" s="120"/>
      <c r="H554" s="120"/>
      <c r="I554" s="120"/>
      <c r="J554" s="14"/>
    </row>
    <row r="555" spans="1:10" ht="30" customHeight="1" thickBot="1" x14ac:dyDescent="0.25">
      <c r="A555" s="169"/>
      <c r="B555" s="168"/>
      <c r="C555" s="151"/>
      <c r="D555" s="151"/>
      <c r="E555" s="526"/>
      <c r="F555" s="326"/>
      <c r="G555" s="526"/>
      <c r="H555" s="526"/>
      <c r="I555" s="526"/>
      <c r="J555" s="6"/>
    </row>
    <row r="556" spans="1:10" ht="30" customHeight="1" thickBot="1" x14ac:dyDescent="0.35">
      <c r="A556" s="140"/>
      <c r="B556" s="139" t="s">
        <v>221</v>
      </c>
      <c r="C556" s="552">
        <f>SUM(C557:C559,C563)</f>
        <v>149365960</v>
      </c>
      <c r="D556" s="552">
        <f>SUM(D557:D559,D563)</f>
        <v>151136957</v>
      </c>
      <c r="E556" s="181"/>
      <c r="F556" s="181"/>
      <c r="G556" s="571"/>
      <c r="H556" s="181"/>
      <c r="I556" s="181"/>
      <c r="J556" s="14"/>
    </row>
    <row r="557" spans="1:10" ht="30" customHeight="1" x14ac:dyDescent="0.2">
      <c r="A557" s="20">
        <v>3341</v>
      </c>
      <c r="B557" s="123" t="s">
        <v>336</v>
      </c>
      <c r="C557" s="120">
        <v>0</v>
      </c>
      <c r="D557" s="120">
        <v>2095129</v>
      </c>
      <c r="E557" s="494"/>
      <c r="F557" s="208"/>
      <c r="G557" s="120"/>
      <c r="H557" s="120"/>
      <c r="I557" s="120"/>
      <c r="J557" s="14"/>
    </row>
    <row r="558" spans="1:10" s="3" customFormat="1" ht="36.75" x14ac:dyDescent="0.2">
      <c r="A558" s="124">
        <v>6112</v>
      </c>
      <c r="B558" s="135" t="s">
        <v>220</v>
      </c>
      <c r="C558" s="120">
        <v>8946400</v>
      </c>
      <c r="D558" s="120">
        <v>8946400</v>
      </c>
      <c r="E558" s="136"/>
      <c r="F558" s="136"/>
      <c r="G558" s="120"/>
      <c r="H558" s="120"/>
      <c r="I558" s="120"/>
      <c r="J558" s="6"/>
    </row>
    <row r="559" spans="1:10" s="3" customFormat="1" ht="30" customHeight="1" x14ac:dyDescent="0.2">
      <c r="A559" s="124">
        <v>6171</v>
      </c>
      <c r="B559" s="123" t="s">
        <v>219</v>
      </c>
      <c r="C559" s="136">
        <f>SUM(C560:C562)</f>
        <v>134519560</v>
      </c>
      <c r="D559" s="136">
        <f>SUM(D560:D562)</f>
        <v>134195428</v>
      </c>
      <c r="E559" s="121"/>
      <c r="F559" s="121"/>
      <c r="G559" s="120"/>
      <c r="H559" s="120"/>
      <c r="I559" s="120"/>
      <c r="J559" s="6"/>
    </row>
    <row r="560" spans="1:10" ht="48" x14ac:dyDescent="0.2">
      <c r="A560" s="138"/>
      <c r="B560" s="146" t="s">
        <v>218</v>
      </c>
      <c r="C560" s="126">
        <v>120650400</v>
      </c>
      <c r="D560" s="126">
        <f>120650400+(-366300-90800-32900)+(-1137306+1211186)+91988</f>
        <v>120326268</v>
      </c>
      <c r="E560" s="127"/>
      <c r="F560" s="127"/>
      <c r="G560" s="126"/>
      <c r="H560" s="126"/>
      <c r="I560" s="126"/>
      <c r="J560" s="6"/>
    </row>
    <row r="561" spans="1:10" ht="30" customHeight="1" x14ac:dyDescent="0.25">
      <c r="A561" s="167"/>
      <c r="B561" s="128" t="s">
        <v>217</v>
      </c>
      <c r="C561" s="126">
        <v>7669160</v>
      </c>
      <c r="D561" s="126">
        <v>7669160</v>
      </c>
      <c r="E561" s="117"/>
      <c r="F561" s="117"/>
      <c r="G561" s="126"/>
      <c r="H561" s="126"/>
      <c r="I561" s="126"/>
      <c r="J561" s="6"/>
    </row>
    <row r="562" spans="1:10" ht="48.75" x14ac:dyDescent="0.25">
      <c r="A562" s="167"/>
      <c r="B562" s="166" t="s">
        <v>216</v>
      </c>
      <c r="C562" s="126">
        <f>5900000+300000</f>
        <v>6200000</v>
      </c>
      <c r="D562" s="126">
        <f>5900000+300000</f>
        <v>6200000</v>
      </c>
      <c r="E562" s="130"/>
      <c r="F562" s="130"/>
      <c r="G562" s="126"/>
      <c r="H562" s="130"/>
      <c r="I562" s="130"/>
      <c r="J562" s="6"/>
    </row>
    <row r="563" spans="1:10" ht="30" customHeight="1" x14ac:dyDescent="0.2">
      <c r="A563" s="124">
        <v>6330</v>
      </c>
      <c r="B563" s="123" t="s">
        <v>215</v>
      </c>
      <c r="C563" s="120">
        <v>5900000</v>
      </c>
      <c r="D563" s="120">
        <v>5900000</v>
      </c>
      <c r="E563" s="120"/>
      <c r="F563" s="120"/>
      <c r="G563" s="120"/>
      <c r="H563" s="120"/>
      <c r="I563" s="120"/>
      <c r="J563" s="14"/>
    </row>
    <row r="564" spans="1:10" ht="30" customHeight="1" thickBot="1" x14ac:dyDescent="0.25">
      <c r="A564" s="165"/>
      <c r="B564" s="164"/>
      <c r="C564" s="151"/>
      <c r="D564" s="151"/>
      <c r="E564" s="117"/>
      <c r="F564" s="134"/>
      <c r="G564" s="486"/>
      <c r="H564" s="486"/>
      <c r="I564" s="486"/>
      <c r="J564" s="14"/>
    </row>
    <row r="565" spans="1:10" ht="30" customHeight="1" thickBot="1" x14ac:dyDescent="0.35">
      <c r="A565" s="140"/>
      <c r="B565" s="139" t="s">
        <v>214</v>
      </c>
      <c r="C565" s="552">
        <f>C566+C591</f>
        <v>10937288</v>
      </c>
      <c r="D565" s="552">
        <f>D566+D591</f>
        <v>10887288</v>
      </c>
      <c r="E565" s="242"/>
      <c r="F565" s="548"/>
      <c r="G565" s="571"/>
      <c r="H565" s="181"/>
      <c r="I565" s="181"/>
      <c r="J565" s="14"/>
    </row>
    <row r="566" spans="1:10" ht="30" customHeight="1" thickBot="1" x14ac:dyDescent="0.3">
      <c r="A566" s="140"/>
      <c r="B566" s="158" t="s">
        <v>213</v>
      </c>
      <c r="C566" s="163">
        <f>C567+C568+C569+C570+C573+C575+C577+C579+C581+C583+C585+C590</f>
        <v>3067000</v>
      </c>
      <c r="D566" s="163">
        <f>D567+D568+D569+D570+D573+D575+D577+D579+D581+D583+D585+D590</f>
        <v>3017000</v>
      </c>
      <c r="E566" s="479"/>
      <c r="F566" s="536"/>
      <c r="G566" s="479"/>
      <c r="H566" s="479"/>
      <c r="I566" s="479"/>
      <c r="J566" s="14"/>
    </row>
    <row r="567" spans="1:10" ht="30" customHeight="1" x14ac:dyDescent="0.2">
      <c r="A567" s="124">
        <v>2293</v>
      </c>
      <c r="B567" s="123" t="s">
        <v>212</v>
      </c>
      <c r="C567" s="120">
        <v>726000</v>
      </c>
      <c r="D567" s="120">
        <v>726000</v>
      </c>
      <c r="E567" s="527"/>
      <c r="F567" s="528"/>
      <c r="G567" s="120"/>
      <c r="H567" s="120"/>
      <c r="I567" s="120"/>
      <c r="J567" s="14"/>
    </row>
    <row r="568" spans="1:10" ht="30" customHeight="1" x14ac:dyDescent="0.2">
      <c r="A568" s="124">
        <v>3613</v>
      </c>
      <c r="B568" s="123" t="s">
        <v>211</v>
      </c>
      <c r="C568" s="120">
        <v>3000</v>
      </c>
      <c r="D568" s="120">
        <v>3000</v>
      </c>
      <c r="E568" s="120"/>
      <c r="F568" s="126"/>
      <c r="G568" s="120"/>
      <c r="H568" s="120"/>
      <c r="I568" s="120"/>
      <c r="J568" s="14"/>
    </row>
    <row r="569" spans="1:10" s="17" customFormat="1" ht="30" customHeight="1" x14ac:dyDescent="0.25">
      <c r="A569" s="124">
        <v>3632</v>
      </c>
      <c r="B569" s="123" t="s">
        <v>210</v>
      </c>
      <c r="C569" s="120">
        <v>130000</v>
      </c>
      <c r="D569" s="120">
        <v>130000</v>
      </c>
      <c r="E569" s="121"/>
      <c r="F569" s="121"/>
      <c r="G569" s="120"/>
      <c r="H569" s="120"/>
      <c r="I569" s="120"/>
      <c r="J569" s="14"/>
    </row>
    <row r="570" spans="1:10" s="17" customFormat="1" ht="30" customHeight="1" x14ac:dyDescent="0.25">
      <c r="A570" s="124">
        <v>4329</v>
      </c>
      <c r="B570" s="123" t="s">
        <v>209</v>
      </c>
      <c r="C570" s="122">
        <f>SUM(C571:C572)</f>
        <v>205000</v>
      </c>
      <c r="D570" s="122">
        <f>SUM(D571:D572)</f>
        <v>255000</v>
      </c>
      <c r="E570" s="121"/>
      <c r="F570" s="121"/>
      <c r="G570" s="120"/>
      <c r="H570" s="120"/>
      <c r="I570" s="120"/>
      <c r="J570" s="14"/>
    </row>
    <row r="571" spans="1:10" s="3" customFormat="1" ht="30" customHeight="1" x14ac:dyDescent="0.2">
      <c r="A571" s="124"/>
      <c r="B571" s="131" t="s">
        <v>208</v>
      </c>
      <c r="C571" s="126">
        <v>5000</v>
      </c>
      <c r="D571" s="126">
        <v>5000</v>
      </c>
      <c r="E571" s="130"/>
      <c r="F571" s="130"/>
      <c r="G571" s="126"/>
      <c r="H571" s="126"/>
      <c r="I571" s="126"/>
      <c r="J571" s="14"/>
    </row>
    <row r="572" spans="1:10" s="3" customFormat="1" ht="30" customHeight="1" x14ac:dyDescent="0.2">
      <c r="A572" s="124"/>
      <c r="B572" s="131" t="s">
        <v>207</v>
      </c>
      <c r="C572" s="126">
        <v>200000</v>
      </c>
      <c r="D572" s="126">
        <f>200000+50000</f>
        <v>250000</v>
      </c>
      <c r="E572" s="130"/>
      <c r="F572" s="130"/>
      <c r="G572" s="126"/>
      <c r="H572" s="126"/>
      <c r="I572" s="126"/>
      <c r="J572" s="14"/>
    </row>
    <row r="573" spans="1:10" s="3" customFormat="1" ht="30" customHeight="1" x14ac:dyDescent="0.2">
      <c r="A573" s="124">
        <v>4339</v>
      </c>
      <c r="B573" s="123" t="s">
        <v>206</v>
      </c>
      <c r="C573" s="122">
        <f>C574</f>
        <v>0</v>
      </c>
      <c r="D573" s="122">
        <f>D574</f>
        <v>0</v>
      </c>
      <c r="E573" s="121"/>
      <c r="F573" s="121"/>
      <c r="G573" s="120"/>
      <c r="H573" s="120"/>
      <c r="I573" s="120"/>
      <c r="J573" s="14"/>
    </row>
    <row r="574" spans="1:10" s="3" customFormat="1" ht="30" customHeight="1" x14ac:dyDescent="0.2">
      <c r="A574" s="124"/>
      <c r="B574" s="131" t="s">
        <v>205</v>
      </c>
      <c r="C574" s="126">
        <v>0</v>
      </c>
      <c r="D574" s="126">
        <v>0</v>
      </c>
      <c r="E574" s="130"/>
      <c r="F574" s="130"/>
      <c r="G574" s="126"/>
      <c r="H574" s="126"/>
      <c r="I574" s="126"/>
      <c r="J574" s="14"/>
    </row>
    <row r="575" spans="1:10" s="3" customFormat="1" ht="30" customHeight="1" x14ac:dyDescent="0.2">
      <c r="A575" s="124">
        <v>4344</v>
      </c>
      <c r="B575" s="123" t="s">
        <v>204</v>
      </c>
      <c r="C575" s="122">
        <f>SUM(C576:C576)</f>
        <v>298000</v>
      </c>
      <c r="D575" s="122">
        <f>SUM(D576:D576)</f>
        <v>298000</v>
      </c>
      <c r="E575" s="134"/>
      <c r="F575" s="134"/>
      <c r="G575" s="120"/>
      <c r="H575" s="120"/>
      <c r="I575" s="120"/>
      <c r="J575" s="14"/>
    </row>
    <row r="576" spans="1:10" s="3" customFormat="1" ht="30" customHeight="1" x14ac:dyDescent="0.2">
      <c r="A576" s="132"/>
      <c r="B576" s="123" t="s">
        <v>203</v>
      </c>
      <c r="C576" s="126">
        <v>298000</v>
      </c>
      <c r="D576" s="126">
        <v>298000</v>
      </c>
      <c r="E576" s="117"/>
      <c r="F576" s="117"/>
      <c r="G576" s="126"/>
      <c r="H576" s="126"/>
      <c r="I576" s="126"/>
      <c r="J576" s="14"/>
    </row>
    <row r="577" spans="1:10" ht="30" customHeight="1" x14ac:dyDescent="0.2">
      <c r="A577" s="124">
        <v>4349</v>
      </c>
      <c r="B577" s="123" t="s">
        <v>202</v>
      </c>
      <c r="C577" s="122">
        <f>SUM(C578:C578)</f>
        <v>250000</v>
      </c>
      <c r="D577" s="122">
        <f>SUM(D578:D578)</f>
        <v>150000</v>
      </c>
      <c r="E577" s="122"/>
      <c r="F577" s="10"/>
      <c r="G577" s="120"/>
      <c r="H577" s="120"/>
      <c r="I577" s="120"/>
      <c r="J577" s="14"/>
    </row>
    <row r="578" spans="1:10" ht="30" customHeight="1" x14ac:dyDescent="0.2">
      <c r="A578" s="132"/>
      <c r="B578" s="155" t="s">
        <v>201</v>
      </c>
      <c r="C578" s="126">
        <v>250000</v>
      </c>
      <c r="D578" s="126">
        <f>250000-100000</f>
        <v>150000</v>
      </c>
      <c r="E578" s="133"/>
      <c r="F578" s="133"/>
      <c r="G578" s="126"/>
      <c r="H578" s="126"/>
      <c r="I578" s="126"/>
      <c r="J578" s="14"/>
    </row>
    <row r="579" spans="1:10" ht="30" customHeight="1" x14ac:dyDescent="0.2">
      <c r="A579" s="124">
        <v>4351</v>
      </c>
      <c r="B579" s="123" t="s">
        <v>200</v>
      </c>
      <c r="C579" s="122">
        <f>SUM(C580:C580)</f>
        <v>35000</v>
      </c>
      <c r="D579" s="122">
        <f>SUM(D580:D580)</f>
        <v>35000</v>
      </c>
      <c r="E579" s="120"/>
      <c r="F579" s="120"/>
      <c r="G579" s="120"/>
      <c r="H579" s="120"/>
      <c r="I579" s="120"/>
      <c r="J579" s="6"/>
    </row>
    <row r="580" spans="1:10" s="3" customFormat="1" ht="30" customHeight="1" x14ac:dyDescent="0.2">
      <c r="A580" s="132"/>
      <c r="B580" s="131" t="s">
        <v>198</v>
      </c>
      <c r="C580" s="126">
        <v>35000</v>
      </c>
      <c r="D580" s="126">
        <v>35000</v>
      </c>
      <c r="E580" s="130"/>
      <c r="F580" s="130"/>
      <c r="G580" s="126"/>
      <c r="H580" s="126"/>
      <c r="I580" s="126"/>
      <c r="J580" s="129"/>
    </row>
    <row r="581" spans="1:10" ht="30" customHeight="1" x14ac:dyDescent="0.2">
      <c r="A581" s="124">
        <v>4371</v>
      </c>
      <c r="B581" s="123" t="s">
        <v>199</v>
      </c>
      <c r="C581" s="122">
        <f>SUM(C582:C582)</f>
        <v>240000</v>
      </c>
      <c r="D581" s="122">
        <f>SUM(D582:D582)</f>
        <v>240000</v>
      </c>
      <c r="E581" s="120"/>
      <c r="F581" s="120"/>
      <c r="G581" s="120"/>
      <c r="H581" s="120"/>
      <c r="I581" s="120"/>
      <c r="J581" s="125"/>
    </row>
    <row r="582" spans="1:10" ht="30" customHeight="1" x14ac:dyDescent="0.2">
      <c r="A582" s="132"/>
      <c r="B582" s="131" t="s">
        <v>198</v>
      </c>
      <c r="C582" s="126">
        <v>240000</v>
      </c>
      <c r="D582" s="126">
        <v>240000</v>
      </c>
      <c r="E582" s="130"/>
      <c r="F582" s="130"/>
      <c r="G582" s="126"/>
      <c r="H582" s="126"/>
      <c r="I582" s="126"/>
      <c r="J582" s="14"/>
    </row>
    <row r="583" spans="1:10" s="3" customFormat="1" ht="30" customHeight="1" x14ac:dyDescent="0.2">
      <c r="A583" s="124">
        <v>4374</v>
      </c>
      <c r="B583" s="161" t="s">
        <v>39</v>
      </c>
      <c r="C583" s="122">
        <f>SUM(C584:C584)</f>
        <v>822000</v>
      </c>
      <c r="D583" s="122">
        <f>SUM(D584:D584)</f>
        <v>822000</v>
      </c>
      <c r="E583" s="121"/>
      <c r="F583" s="121"/>
      <c r="G583" s="120"/>
      <c r="H583" s="120"/>
      <c r="I583" s="120"/>
      <c r="J583" s="14"/>
    </row>
    <row r="584" spans="1:10" ht="30" customHeight="1" x14ac:dyDescent="0.2">
      <c r="A584" s="132"/>
      <c r="B584" s="131" t="s">
        <v>198</v>
      </c>
      <c r="C584" s="126">
        <v>822000</v>
      </c>
      <c r="D584" s="126">
        <v>822000</v>
      </c>
      <c r="E584" s="130"/>
      <c r="F584" s="130"/>
      <c r="G584" s="126"/>
      <c r="H584" s="126"/>
      <c r="I584" s="126"/>
      <c r="J584" s="14"/>
    </row>
    <row r="585" spans="1:10" s="3" customFormat="1" ht="30" customHeight="1" x14ac:dyDescent="0.2">
      <c r="A585" s="124">
        <v>4379</v>
      </c>
      <c r="B585" s="123" t="s">
        <v>197</v>
      </c>
      <c r="C585" s="122">
        <f>SUM(C586:C589)</f>
        <v>345000</v>
      </c>
      <c r="D585" s="122">
        <f>SUM(D586:D589)</f>
        <v>345000</v>
      </c>
      <c r="E585" s="121"/>
      <c r="F585" s="130"/>
      <c r="G585" s="120"/>
      <c r="H585" s="121"/>
      <c r="I585" s="121"/>
      <c r="J585" s="125"/>
    </row>
    <row r="586" spans="1:10" ht="30" customHeight="1" x14ac:dyDescent="0.2">
      <c r="A586" s="132"/>
      <c r="B586" s="155" t="s">
        <v>196</v>
      </c>
      <c r="C586" s="126">
        <v>232000</v>
      </c>
      <c r="D586" s="126">
        <v>232000</v>
      </c>
      <c r="E586" s="126"/>
      <c r="F586" s="126"/>
      <c r="G586" s="126"/>
      <c r="H586" s="126"/>
      <c r="I586" s="126"/>
      <c r="J586" s="14"/>
    </row>
    <row r="587" spans="1:10" s="160" customFormat="1" ht="30" customHeight="1" x14ac:dyDescent="0.2">
      <c r="A587" s="132"/>
      <c r="B587" s="155" t="s">
        <v>195</v>
      </c>
      <c r="C587" s="126">
        <v>59000</v>
      </c>
      <c r="D587" s="126">
        <v>59000</v>
      </c>
      <c r="E587" s="130"/>
      <c r="F587" s="130"/>
      <c r="G587" s="126"/>
      <c r="H587" s="126"/>
      <c r="I587" s="126"/>
      <c r="J587" s="14"/>
    </row>
    <row r="588" spans="1:10" ht="30" customHeight="1" x14ac:dyDescent="0.2">
      <c r="A588" s="132"/>
      <c r="B588" s="155" t="s">
        <v>194</v>
      </c>
      <c r="C588" s="126">
        <v>44000</v>
      </c>
      <c r="D588" s="126">
        <v>44000</v>
      </c>
      <c r="E588" s="130"/>
      <c r="F588" s="130"/>
      <c r="G588" s="126"/>
      <c r="H588" s="126"/>
      <c r="I588" s="126"/>
      <c r="J588" s="14"/>
    </row>
    <row r="589" spans="1:10" s="3" customFormat="1" ht="30" customHeight="1" x14ac:dyDescent="0.2">
      <c r="A589" s="132"/>
      <c r="B589" s="155" t="s">
        <v>193</v>
      </c>
      <c r="C589" s="126">
        <v>10000</v>
      </c>
      <c r="D589" s="126">
        <v>10000</v>
      </c>
      <c r="E589" s="130"/>
      <c r="F589" s="130"/>
      <c r="G589" s="126"/>
      <c r="H589" s="126"/>
      <c r="I589" s="126"/>
      <c r="J589" s="14"/>
    </row>
    <row r="590" spans="1:10" ht="30" customHeight="1" thickBot="1" x14ac:dyDescent="0.25">
      <c r="A590" s="124">
        <v>4399</v>
      </c>
      <c r="B590" s="123" t="s">
        <v>192</v>
      </c>
      <c r="C590" s="120">
        <v>13000</v>
      </c>
      <c r="D590" s="120">
        <v>13000</v>
      </c>
      <c r="E590" s="121"/>
      <c r="F590" s="121"/>
      <c r="G590" s="120"/>
      <c r="H590" s="486"/>
      <c r="I590" s="120"/>
      <c r="J590" s="14"/>
    </row>
    <row r="591" spans="1:10" ht="30" customHeight="1" thickBot="1" x14ac:dyDescent="0.3">
      <c r="A591" s="140"/>
      <c r="B591" s="158" t="s">
        <v>191</v>
      </c>
      <c r="C591" s="157">
        <f>C592</f>
        <v>7870288</v>
      </c>
      <c r="D591" s="157">
        <f>D592</f>
        <v>7870288</v>
      </c>
      <c r="E591" s="479"/>
      <c r="F591" s="479"/>
      <c r="G591" s="479"/>
      <c r="H591" s="479"/>
      <c r="I591" s="479"/>
      <c r="J591" s="14"/>
    </row>
    <row r="592" spans="1:10" ht="30" customHeight="1" x14ac:dyDescent="0.2">
      <c r="A592" s="156"/>
      <c r="B592" s="137" t="s">
        <v>190</v>
      </c>
      <c r="C592" s="122">
        <f>SUM(C593:C600)</f>
        <v>7870288</v>
      </c>
      <c r="D592" s="122">
        <f>SUM(D593:D600)</f>
        <v>7870288</v>
      </c>
      <c r="E592" s="120"/>
      <c r="F592" s="126"/>
      <c r="G592" s="120"/>
      <c r="H592" s="120"/>
      <c r="I592" s="120"/>
      <c r="J592" s="14"/>
    </row>
    <row r="593" spans="1:10" s="3" customFormat="1" ht="30" customHeight="1" x14ac:dyDescent="0.2">
      <c r="A593" s="156"/>
      <c r="B593" s="155" t="s">
        <v>189</v>
      </c>
      <c r="C593" s="126">
        <v>190000</v>
      </c>
      <c r="D593" s="126">
        <v>190000</v>
      </c>
      <c r="E593" s="130"/>
      <c r="F593" s="130"/>
      <c r="G593" s="126"/>
      <c r="H593" s="126"/>
      <c r="I593" s="126"/>
      <c r="J593" s="14"/>
    </row>
    <row r="594" spans="1:10" ht="30" customHeight="1" x14ac:dyDescent="0.2">
      <c r="A594" s="156"/>
      <c r="B594" s="155" t="s">
        <v>188</v>
      </c>
      <c r="C594" s="126">
        <v>170000</v>
      </c>
      <c r="D594" s="126">
        <v>170000</v>
      </c>
      <c r="E594" s="130"/>
      <c r="F594" s="130"/>
      <c r="G594" s="126"/>
      <c r="H594" s="126"/>
      <c r="I594" s="126"/>
      <c r="J594" s="14"/>
    </row>
    <row r="595" spans="1:10" ht="30" customHeight="1" x14ac:dyDescent="0.2">
      <c r="A595" s="156"/>
      <c r="B595" s="155" t="s">
        <v>187</v>
      </c>
      <c r="C595" s="126">
        <v>5594688</v>
      </c>
      <c r="D595" s="126">
        <v>5594688</v>
      </c>
      <c r="E595" s="130"/>
      <c r="F595" s="130"/>
      <c r="G595" s="126"/>
      <c r="H595" s="126"/>
      <c r="I595" s="126"/>
      <c r="J595" s="14"/>
    </row>
    <row r="596" spans="1:10" ht="30" customHeight="1" x14ac:dyDescent="0.2">
      <c r="A596" s="156"/>
      <c r="B596" s="155" t="s">
        <v>186</v>
      </c>
      <c r="C596" s="126">
        <v>1217600</v>
      </c>
      <c r="D596" s="126">
        <v>1217600</v>
      </c>
      <c r="E596" s="130"/>
      <c r="F596" s="130"/>
      <c r="G596" s="126"/>
      <c r="H596" s="126"/>
      <c r="I596" s="126"/>
      <c r="J596" s="14"/>
    </row>
    <row r="597" spans="1:10" ht="30" customHeight="1" x14ac:dyDescent="0.2">
      <c r="A597" s="156"/>
      <c r="B597" s="155" t="s">
        <v>185</v>
      </c>
      <c r="C597" s="126">
        <v>298000</v>
      </c>
      <c r="D597" s="126">
        <f>298000-12000-15000-10000</f>
        <v>261000</v>
      </c>
      <c r="E597" s="130"/>
      <c r="F597" s="130"/>
      <c r="G597" s="126"/>
      <c r="H597" s="126"/>
      <c r="I597" s="126"/>
      <c r="J597" s="14"/>
    </row>
    <row r="598" spans="1:10" ht="30" customHeight="1" x14ac:dyDescent="0.2">
      <c r="A598" s="156"/>
      <c r="B598" s="155" t="s">
        <v>184</v>
      </c>
      <c r="C598" s="126">
        <v>250000</v>
      </c>
      <c r="D598" s="126">
        <v>250000</v>
      </c>
      <c r="E598" s="130"/>
      <c r="F598" s="130"/>
      <c r="G598" s="126"/>
      <c r="H598" s="126"/>
      <c r="I598" s="126"/>
      <c r="J598" s="14"/>
    </row>
    <row r="599" spans="1:10" ht="30" customHeight="1" x14ac:dyDescent="0.2">
      <c r="A599" s="124"/>
      <c r="B599" s="155" t="s">
        <v>183</v>
      </c>
      <c r="C599" s="126">
        <v>150000</v>
      </c>
      <c r="D599" s="126">
        <v>150000</v>
      </c>
      <c r="E599" s="126"/>
      <c r="F599" s="126"/>
      <c r="G599" s="126"/>
      <c r="H599" s="126"/>
      <c r="I599" s="126"/>
      <c r="J599" s="6"/>
    </row>
    <row r="600" spans="1:10" ht="30" customHeight="1" x14ac:dyDescent="0.2">
      <c r="A600" s="124"/>
      <c r="B600" s="154" t="s">
        <v>182</v>
      </c>
      <c r="C600" s="126">
        <v>0</v>
      </c>
      <c r="D600" s="126">
        <f>12000+15000+10000</f>
        <v>37000</v>
      </c>
      <c r="E600" s="130"/>
      <c r="F600" s="130"/>
      <c r="G600" s="126"/>
      <c r="H600" s="126"/>
      <c r="I600" s="126"/>
      <c r="J600" s="14"/>
    </row>
    <row r="601" spans="1:10" ht="30" customHeight="1" thickBot="1" x14ac:dyDescent="0.25">
      <c r="A601" s="143"/>
      <c r="B601" s="153"/>
      <c r="C601" s="151"/>
      <c r="D601" s="151"/>
      <c r="E601" s="117"/>
      <c r="F601" s="117"/>
      <c r="G601" s="151"/>
      <c r="H601" s="151"/>
      <c r="I601" s="151"/>
      <c r="J601" s="14"/>
    </row>
    <row r="602" spans="1:10" ht="30" customHeight="1" thickBot="1" x14ac:dyDescent="0.25">
      <c r="A602" s="143"/>
      <c r="B602" s="150" t="s">
        <v>181</v>
      </c>
      <c r="C602" s="242">
        <f>C603</f>
        <v>13505100</v>
      </c>
      <c r="D602" s="242">
        <f>D603</f>
        <v>20484366</v>
      </c>
      <c r="E602" s="181"/>
      <c r="F602" s="181"/>
      <c r="G602" s="571"/>
      <c r="H602" s="181"/>
      <c r="I602" s="181"/>
      <c r="J602" s="6"/>
    </row>
    <row r="603" spans="1:10" ht="30" customHeight="1" x14ac:dyDescent="0.2">
      <c r="A603" s="119">
        <v>4351</v>
      </c>
      <c r="B603" s="149" t="s">
        <v>180</v>
      </c>
      <c r="C603" s="148">
        <f>SUM(C604:C606)</f>
        <v>13505100</v>
      </c>
      <c r="D603" s="148">
        <f>SUM(D604:D606)</f>
        <v>20484366</v>
      </c>
      <c r="E603" s="120"/>
      <c r="F603" s="120"/>
      <c r="G603" s="120"/>
      <c r="H603" s="120"/>
      <c r="I603" s="120"/>
      <c r="J603" s="201"/>
    </row>
    <row r="604" spans="1:10" ht="60" x14ac:dyDescent="0.2">
      <c r="A604" s="132"/>
      <c r="B604" s="146" t="s">
        <v>179</v>
      </c>
      <c r="C604" s="145">
        <v>6835500</v>
      </c>
      <c r="D604" s="145">
        <f>6835500+(541000+2820000)+635148</f>
        <v>10831648</v>
      </c>
      <c r="E604" s="130"/>
      <c r="F604" s="130"/>
      <c r="G604" s="126"/>
      <c r="H604" s="126"/>
      <c r="I604" s="126"/>
      <c r="J604" s="125"/>
    </row>
    <row r="605" spans="1:10" ht="48" x14ac:dyDescent="0.2">
      <c r="A605" s="132"/>
      <c r="B605" s="146" t="s">
        <v>178</v>
      </c>
      <c r="C605" s="147">
        <v>1739300</v>
      </c>
      <c r="D605" s="147">
        <f>1739300+(190000+550000)+164975</f>
        <v>2644275</v>
      </c>
      <c r="E605" s="130"/>
      <c r="F605" s="130"/>
      <c r="G605" s="126"/>
      <c r="H605" s="126"/>
      <c r="I605" s="126"/>
      <c r="J605" s="6"/>
    </row>
    <row r="606" spans="1:10" ht="36" x14ac:dyDescent="0.2">
      <c r="A606" s="124"/>
      <c r="B606" s="146" t="s">
        <v>177</v>
      </c>
      <c r="C606" s="145">
        <v>4930300</v>
      </c>
      <c r="D606" s="145">
        <f>4930300+1483000+595143</f>
        <v>7008443</v>
      </c>
      <c r="E606" s="130"/>
      <c r="F606" s="130"/>
      <c r="G606" s="126"/>
      <c r="H606" s="126"/>
      <c r="I606" s="126"/>
      <c r="J606" s="6"/>
    </row>
    <row r="607" spans="1:10" ht="30" customHeight="1" thickBot="1" x14ac:dyDescent="0.25">
      <c r="A607" s="143"/>
      <c r="B607" s="142"/>
      <c r="C607" s="141"/>
      <c r="D607" s="141"/>
      <c r="E607" s="134"/>
      <c r="F607" s="117"/>
      <c r="G607" s="486"/>
      <c r="H607" s="486"/>
      <c r="I607" s="486"/>
      <c r="J607" s="14"/>
    </row>
    <row r="608" spans="1:10" ht="30" customHeight="1" thickBot="1" x14ac:dyDescent="0.35">
      <c r="A608" s="140"/>
      <c r="B608" s="139" t="s">
        <v>176</v>
      </c>
      <c r="C608" s="242">
        <f>SUM(C609:C617,C621:C624,C629,C630)</f>
        <v>58483000</v>
      </c>
      <c r="D608" s="242">
        <f>SUM(D609:D617,D621:D624,D629,D630)</f>
        <v>59095350</v>
      </c>
      <c r="E608" s="181"/>
      <c r="F608" s="181"/>
      <c r="G608" s="571"/>
      <c r="H608" s="181"/>
      <c r="I608" s="181"/>
      <c r="J608" s="14"/>
    </row>
    <row r="609" spans="1:10" ht="30" customHeight="1" x14ac:dyDescent="0.2">
      <c r="A609" s="138">
        <v>1014</v>
      </c>
      <c r="B609" s="137" t="s">
        <v>175</v>
      </c>
      <c r="C609" s="120">
        <v>770000</v>
      </c>
      <c r="D609" s="120">
        <v>770000</v>
      </c>
      <c r="E609" s="553"/>
      <c r="F609" s="553"/>
      <c r="G609" s="120"/>
      <c r="H609" s="120"/>
      <c r="I609" s="120"/>
      <c r="J609" s="14"/>
    </row>
    <row r="610" spans="1:10" ht="30" customHeight="1" x14ac:dyDescent="0.2">
      <c r="A610" s="124">
        <v>1031</v>
      </c>
      <c r="B610" s="123" t="s">
        <v>174</v>
      </c>
      <c r="C610" s="120">
        <v>436000</v>
      </c>
      <c r="D610" s="120">
        <v>436000</v>
      </c>
      <c r="E610" s="121"/>
      <c r="F610" s="121"/>
      <c r="G610" s="120"/>
      <c r="H610" s="120"/>
      <c r="I610" s="120"/>
      <c r="J610" s="14"/>
    </row>
    <row r="611" spans="1:10" ht="30" customHeight="1" x14ac:dyDescent="0.2">
      <c r="A611" s="124">
        <v>1036</v>
      </c>
      <c r="B611" s="123" t="s">
        <v>173</v>
      </c>
      <c r="C611" s="120">
        <v>100000</v>
      </c>
      <c r="D611" s="120">
        <v>100000</v>
      </c>
      <c r="E611" s="121"/>
      <c r="F611" s="121"/>
      <c r="G611" s="120"/>
      <c r="H611" s="120"/>
      <c r="I611" s="120"/>
      <c r="J611" s="14"/>
    </row>
    <row r="612" spans="1:10" s="17" customFormat="1" ht="30" customHeight="1" x14ac:dyDescent="0.25">
      <c r="A612" s="124">
        <v>1037</v>
      </c>
      <c r="B612" s="123" t="s">
        <v>172</v>
      </c>
      <c r="C612" s="120">
        <v>20000</v>
      </c>
      <c r="D612" s="120">
        <v>20000</v>
      </c>
      <c r="E612" s="540"/>
      <c r="F612" s="540"/>
      <c r="G612" s="120"/>
      <c r="H612" s="120"/>
      <c r="I612" s="120"/>
      <c r="J612" s="14"/>
    </row>
    <row r="613" spans="1:10" s="3" customFormat="1" ht="30" customHeight="1" x14ac:dyDescent="0.2">
      <c r="A613" s="124">
        <v>1039</v>
      </c>
      <c r="B613" s="123" t="s">
        <v>171</v>
      </c>
      <c r="C613" s="120">
        <v>200000</v>
      </c>
      <c r="D613" s="120">
        <v>200000</v>
      </c>
      <c r="E613" s="121"/>
      <c r="F613" s="236"/>
      <c r="G613" s="120"/>
      <c r="H613" s="120"/>
      <c r="I613" s="120"/>
      <c r="J613" s="14"/>
    </row>
    <row r="614" spans="1:10" s="3" customFormat="1" ht="30" customHeight="1" x14ac:dyDescent="0.2">
      <c r="A614" s="124">
        <v>2369</v>
      </c>
      <c r="B614" s="123" t="s">
        <v>170</v>
      </c>
      <c r="C614" s="120">
        <v>370000</v>
      </c>
      <c r="D614" s="120">
        <v>370000</v>
      </c>
      <c r="E614" s="121"/>
      <c r="F614" s="18"/>
      <c r="G614" s="120"/>
      <c r="H614" s="120"/>
      <c r="I614" s="120"/>
      <c r="J614" s="14"/>
    </row>
    <row r="615" spans="1:10" customFormat="1" ht="30" customHeight="1" x14ac:dyDescent="0.2">
      <c r="A615" s="71">
        <v>3639</v>
      </c>
      <c r="B615" s="58" t="s">
        <v>925</v>
      </c>
      <c r="C615" s="63">
        <v>0</v>
      </c>
      <c r="D615" s="63">
        <v>84350</v>
      </c>
      <c r="E615" s="549"/>
      <c r="F615" s="549"/>
      <c r="G615" s="120"/>
      <c r="H615" s="121"/>
      <c r="I615" s="121"/>
      <c r="J615" s="14"/>
    </row>
    <row r="616" spans="1:10" s="3" customFormat="1" ht="30" customHeight="1" x14ac:dyDescent="0.2">
      <c r="A616" s="124">
        <v>3721</v>
      </c>
      <c r="B616" s="123" t="s">
        <v>169</v>
      </c>
      <c r="C616" s="120">
        <v>50000</v>
      </c>
      <c r="D616" s="120">
        <v>50000</v>
      </c>
      <c r="E616" s="121"/>
      <c r="F616" s="121"/>
      <c r="G616" s="120"/>
      <c r="H616" s="120"/>
      <c r="I616" s="120"/>
      <c r="J616" s="14"/>
    </row>
    <row r="617" spans="1:10" s="3" customFormat="1" ht="30" customHeight="1" x14ac:dyDescent="0.2">
      <c r="A617" s="124">
        <v>3722</v>
      </c>
      <c r="B617" s="123" t="s">
        <v>168</v>
      </c>
      <c r="C617" s="122">
        <f>SUM(C618:C620)</f>
        <v>27100000</v>
      </c>
      <c r="D617" s="122">
        <f>SUM(D618:D620)</f>
        <v>27220100</v>
      </c>
      <c r="E617" s="18"/>
      <c r="F617" s="18"/>
      <c r="G617" s="120"/>
      <c r="H617" s="120"/>
      <c r="I617" s="120"/>
      <c r="J617" s="6"/>
    </row>
    <row r="618" spans="1:10" s="3" customFormat="1" ht="30" customHeight="1" x14ac:dyDescent="0.2">
      <c r="A618" s="124"/>
      <c r="B618" s="131" t="s">
        <v>167</v>
      </c>
      <c r="C618" s="126">
        <v>24500000</v>
      </c>
      <c r="D618" s="126">
        <f>24500000+120100</f>
        <v>24620100</v>
      </c>
      <c r="E618" s="130"/>
      <c r="F618" s="130"/>
      <c r="G618" s="126"/>
      <c r="H618" s="126"/>
      <c r="I618" s="126"/>
      <c r="J618" s="14"/>
    </row>
    <row r="619" spans="1:10" s="3" customFormat="1" ht="30" customHeight="1" x14ac:dyDescent="0.2">
      <c r="A619" s="124"/>
      <c r="B619" s="131" t="s">
        <v>166</v>
      </c>
      <c r="C619" s="126">
        <f>2140000+100000</f>
        <v>2240000</v>
      </c>
      <c r="D619" s="126">
        <f>2140000+100000</f>
        <v>2240000</v>
      </c>
      <c r="E619" s="130"/>
      <c r="F619" s="130"/>
      <c r="G619" s="126"/>
      <c r="H619" s="126"/>
      <c r="I619" s="126"/>
      <c r="J619" s="14"/>
    </row>
    <row r="620" spans="1:10" s="3" customFormat="1" ht="30" customHeight="1" x14ac:dyDescent="0.2">
      <c r="A620" s="124"/>
      <c r="B620" s="128" t="s">
        <v>165</v>
      </c>
      <c r="C620" s="126">
        <v>360000</v>
      </c>
      <c r="D620" s="126">
        <v>360000</v>
      </c>
      <c r="E620" s="130"/>
      <c r="F620" s="499"/>
      <c r="G620" s="126"/>
      <c r="H620" s="126"/>
      <c r="I620" s="126"/>
      <c r="J620" s="14"/>
    </row>
    <row r="621" spans="1:10" s="3" customFormat="1" ht="30" customHeight="1" x14ac:dyDescent="0.2">
      <c r="A621" s="124">
        <v>3733</v>
      </c>
      <c r="B621" s="123" t="s">
        <v>164</v>
      </c>
      <c r="C621" s="120">
        <v>65000</v>
      </c>
      <c r="D621" s="120">
        <v>65000</v>
      </c>
      <c r="E621" s="121"/>
      <c r="F621" s="236"/>
      <c r="G621" s="120"/>
      <c r="H621" s="120"/>
      <c r="I621" s="120"/>
      <c r="J621" s="14"/>
    </row>
    <row r="622" spans="1:10" s="3" customFormat="1" ht="30" customHeight="1" x14ac:dyDescent="0.2">
      <c r="A622" s="124">
        <v>3742</v>
      </c>
      <c r="B622" s="135" t="s">
        <v>163</v>
      </c>
      <c r="C622" s="120">
        <v>100000</v>
      </c>
      <c r="D622" s="120">
        <v>100000</v>
      </c>
      <c r="E622" s="121"/>
      <c r="F622" s="130"/>
      <c r="G622" s="120"/>
      <c r="H622" s="120"/>
      <c r="I622" s="120"/>
      <c r="J622" s="14"/>
    </row>
    <row r="623" spans="1:10" s="3" customFormat="1" ht="30" customHeight="1" x14ac:dyDescent="0.2">
      <c r="A623" s="124">
        <v>3743</v>
      </c>
      <c r="B623" s="123" t="s">
        <v>162</v>
      </c>
      <c r="C623" s="120">
        <v>2000</v>
      </c>
      <c r="D623" s="120">
        <v>2000</v>
      </c>
      <c r="E623" s="121"/>
      <c r="F623" s="121"/>
      <c r="G623" s="120"/>
      <c r="H623" s="120"/>
      <c r="I623" s="120"/>
      <c r="J623" s="14"/>
    </row>
    <row r="624" spans="1:10" s="3" customFormat="1" ht="30" customHeight="1" x14ac:dyDescent="0.2">
      <c r="A624" s="124">
        <v>3745</v>
      </c>
      <c r="B624" s="123" t="s">
        <v>161</v>
      </c>
      <c r="C624" s="122">
        <f>SUM(C625:C628)</f>
        <v>29115000</v>
      </c>
      <c r="D624" s="122">
        <f>SUM(D625:D628)</f>
        <v>29222900</v>
      </c>
      <c r="E624" s="121"/>
      <c r="F624" s="121"/>
      <c r="G624" s="120"/>
      <c r="H624" s="120"/>
      <c r="I624" s="120"/>
      <c r="J624" s="14"/>
    </row>
    <row r="625" spans="1:246" s="3" customFormat="1" ht="30" customHeight="1" x14ac:dyDescent="0.2">
      <c r="A625" s="124"/>
      <c r="B625" s="131" t="s">
        <v>160</v>
      </c>
      <c r="C625" s="126">
        <v>150000</v>
      </c>
      <c r="D625" s="126">
        <v>150000</v>
      </c>
      <c r="E625" s="127"/>
      <c r="F625" s="127"/>
      <c r="G625" s="126"/>
      <c r="H625" s="126"/>
      <c r="I625" s="126"/>
      <c r="J625" s="14"/>
    </row>
    <row r="626" spans="1:246" s="3" customFormat="1" ht="30" customHeight="1" x14ac:dyDescent="0.2">
      <c r="A626" s="132"/>
      <c r="B626" s="131" t="s">
        <v>159</v>
      </c>
      <c r="C626" s="126">
        <v>16000000</v>
      </c>
      <c r="D626" s="126">
        <f>16000000+234740+107900</f>
        <v>16342640</v>
      </c>
      <c r="E626" s="130"/>
      <c r="F626" s="130"/>
      <c r="G626" s="126"/>
      <c r="H626" s="126"/>
      <c r="I626" s="126"/>
      <c r="J626" s="6"/>
    </row>
    <row r="627" spans="1:246" s="3" customFormat="1" ht="30" customHeight="1" x14ac:dyDescent="0.2">
      <c r="A627" s="132"/>
      <c r="B627" s="131" t="s">
        <v>158</v>
      </c>
      <c r="C627" s="126">
        <v>3200000</v>
      </c>
      <c r="D627" s="126">
        <v>3200000</v>
      </c>
      <c r="E627" s="130"/>
      <c r="F627" s="130"/>
      <c r="G627" s="126"/>
      <c r="H627" s="126"/>
      <c r="I627" s="126"/>
      <c r="J627" s="6"/>
    </row>
    <row r="628" spans="1:246" s="3" customFormat="1" ht="30" customHeight="1" x14ac:dyDescent="0.2">
      <c r="A628" s="124"/>
      <c r="B628" s="128" t="s">
        <v>157</v>
      </c>
      <c r="C628" s="126">
        <f>9285000+480000</f>
        <v>9765000</v>
      </c>
      <c r="D628" s="126">
        <f>(9285000+480000)-234740</f>
        <v>9530260</v>
      </c>
      <c r="E628" s="130"/>
      <c r="F628" s="130"/>
      <c r="G628" s="126"/>
      <c r="H628" s="126"/>
      <c r="I628" s="126"/>
      <c r="J628" s="6"/>
    </row>
    <row r="629" spans="1:246" ht="30" customHeight="1" thickBot="1" x14ac:dyDescent="0.25">
      <c r="A629" s="124">
        <v>3792</v>
      </c>
      <c r="B629" s="123" t="s">
        <v>156</v>
      </c>
      <c r="C629" s="120">
        <v>155000</v>
      </c>
      <c r="D629" s="120">
        <v>155000</v>
      </c>
      <c r="E629" s="121"/>
      <c r="F629" s="121"/>
      <c r="G629" s="120"/>
      <c r="H629" s="120"/>
      <c r="I629" s="120"/>
      <c r="J629" s="14"/>
    </row>
    <row r="630" spans="1:246" s="3" customFormat="1" ht="30" customHeight="1" thickBot="1" x14ac:dyDescent="0.3">
      <c r="A630" s="45"/>
      <c r="B630" s="44" t="s">
        <v>914</v>
      </c>
      <c r="C630" s="43">
        <f>SUM(C631:C632)</f>
        <v>0</v>
      </c>
      <c r="D630" s="43">
        <f>SUM(D631:D632)</f>
        <v>300000</v>
      </c>
      <c r="E630" s="479"/>
      <c r="F630" s="479"/>
      <c r="G630" s="479"/>
      <c r="H630" s="479"/>
      <c r="I630" s="479"/>
      <c r="J630" s="6"/>
      <c r="K630" s="41"/>
      <c r="L630" s="41"/>
      <c r="M630" s="41"/>
      <c r="N630" s="41"/>
      <c r="O630" s="41"/>
      <c r="P630" s="41"/>
      <c r="Q630" s="41"/>
      <c r="R630" s="41"/>
      <c r="S630" s="41"/>
      <c r="T630" s="41"/>
      <c r="U630" s="41"/>
      <c r="V630" s="41"/>
      <c r="W630" s="41"/>
      <c r="X630" s="41"/>
      <c r="Y630" s="41"/>
      <c r="Z630" s="41"/>
      <c r="AA630" s="41"/>
      <c r="AB630" s="41"/>
      <c r="AC630" s="41"/>
      <c r="AD630" s="41"/>
      <c r="AE630" s="41"/>
      <c r="AF630" s="41"/>
      <c r="AG630" s="41"/>
      <c r="AH630" s="41"/>
      <c r="AI630" s="41"/>
      <c r="AJ630" s="41"/>
      <c r="AK630" s="41"/>
      <c r="AL630" s="41"/>
      <c r="AM630" s="41"/>
      <c r="AN630" s="41"/>
      <c r="AO630" s="41"/>
      <c r="AP630" s="41"/>
      <c r="AQ630" s="41"/>
      <c r="AR630" s="41"/>
      <c r="AS630" s="41"/>
      <c r="AT630" s="41"/>
      <c r="AU630" s="41"/>
      <c r="AV630" s="41"/>
      <c r="AW630" s="41"/>
      <c r="AX630" s="41"/>
      <c r="AY630" s="41"/>
      <c r="AZ630" s="41"/>
      <c r="BA630" s="41"/>
      <c r="BB630" s="41"/>
      <c r="BC630" s="41"/>
      <c r="BD630" s="41"/>
      <c r="BE630" s="41"/>
      <c r="BF630" s="41"/>
      <c r="BG630" s="41"/>
      <c r="BH630" s="41"/>
      <c r="BI630" s="41"/>
      <c r="BJ630" s="41"/>
      <c r="BK630" s="41"/>
      <c r="BL630" s="41"/>
      <c r="BM630" s="41"/>
      <c r="BN630" s="41"/>
      <c r="BO630" s="41"/>
      <c r="BP630" s="41"/>
      <c r="BQ630" s="41"/>
      <c r="BR630" s="41"/>
      <c r="BS630" s="41"/>
      <c r="BT630" s="41"/>
      <c r="BU630" s="41"/>
      <c r="BV630" s="41"/>
      <c r="BW630" s="41"/>
      <c r="BX630" s="41"/>
      <c r="BY630" s="41"/>
      <c r="BZ630" s="41"/>
      <c r="CA630" s="41"/>
      <c r="CB630" s="41"/>
      <c r="CC630" s="41"/>
      <c r="CD630" s="41"/>
      <c r="CE630" s="41"/>
      <c r="CF630" s="41"/>
      <c r="CG630" s="41"/>
      <c r="CH630" s="41"/>
      <c r="CI630" s="41"/>
      <c r="CJ630" s="41"/>
      <c r="CK630" s="41"/>
      <c r="CL630" s="41"/>
      <c r="CM630" s="41"/>
      <c r="CN630" s="41"/>
      <c r="CO630" s="41"/>
      <c r="CP630" s="41"/>
      <c r="CQ630" s="41"/>
      <c r="CR630" s="41"/>
      <c r="CS630" s="41"/>
      <c r="CT630" s="41"/>
      <c r="CU630" s="41"/>
      <c r="CV630" s="41"/>
      <c r="CW630" s="41"/>
      <c r="CX630" s="41"/>
      <c r="CY630" s="41"/>
      <c r="CZ630" s="41"/>
      <c r="DA630" s="41"/>
      <c r="DB630" s="41"/>
      <c r="DC630" s="41"/>
      <c r="DD630" s="41"/>
      <c r="DE630" s="41"/>
      <c r="DF630" s="41"/>
      <c r="DG630" s="41"/>
      <c r="DH630" s="41"/>
      <c r="DI630" s="41"/>
      <c r="DJ630" s="41"/>
      <c r="DK630" s="41"/>
      <c r="DL630" s="41"/>
      <c r="DM630" s="41"/>
      <c r="DN630" s="41"/>
      <c r="DO630" s="41"/>
      <c r="DP630" s="41"/>
      <c r="DQ630" s="41"/>
      <c r="DR630" s="41"/>
      <c r="DS630" s="41"/>
      <c r="DT630" s="41"/>
      <c r="DU630" s="41"/>
      <c r="DV630" s="41"/>
      <c r="DW630" s="41"/>
      <c r="DX630" s="41"/>
      <c r="DY630" s="41"/>
      <c r="DZ630" s="41"/>
      <c r="EA630" s="41"/>
      <c r="EB630" s="41"/>
      <c r="EC630" s="41"/>
      <c r="ED630" s="41"/>
      <c r="EE630" s="41"/>
      <c r="EF630" s="41"/>
      <c r="EG630" s="41"/>
      <c r="EH630" s="41"/>
      <c r="EI630" s="41"/>
      <c r="EJ630" s="41"/>
      <c r="EK630" s="41"/>
      <c r="EL630" s="41"/>
      <c r="EM630" s="41"/>
      <c r="EN630" s="41"/>
      <c r="EO630" s="41"/>
      <c r="EP630" s="41"/>
      <c r="EQ630" s="41"/>
      <c r="ER630" s="41"/>
      <c r="ES630" s="41"/>
      <c r="ET630" s="41"/>
      <c r="EU630" s="41"/>
      <c r="EV630" s="41"/>
      <c r="EW630" s="41"/>
      <c r="EX630" s="41"/>
      <c r="EY630" s="41"/>
      <c r="EZ630" s="41"/>
      <c r="FA630" s="41"/>
      <c r="FB630" s="41"/>
      <c r="FC630" s="41"/>
      <c r="FD630" s="41"/>
      <c r="FE630" s="41"/>
      <c r="FF630" s="41"/>
      <c r="FG630" s="41"/>
      <c r="FH630" s="41"/>
      <c r="FI630" s="41"/>
      <c r="FJ630" s="41"/>
      <c r="FK630" s="41"/>
      <c r="FL630" s="41"/>
      <c r="FM630" s="41"/>
      <c r="FN630" s="41"/>
      <c r="FO630" s="41"/>
      <c r="FP630" s="41"/>
      <c r="FQ630" s="41"/>
      <c r="FR630" s="41"/>
      <c r="FS630" s="41"/>
      <c r="FT630" s="41"/>
      <c r="FU630" s="41"/>
      <c r="FV630" s="41"/>
      <c r="FW630" s="41"/>
      <c r="FX630" s="41"/>
      <c r="FY630" s="41"/>
      <c r="FZ630" s="41"/>
      <c r="GA630" s="41"/>
      <c r="GB630" s="41"/>
      <c r="GC630" s="41"/>
      <c r="GD630" s="41"/>
      <c r="GE630" s="41"/>
      <c r="GF630" s="41"/>
      <c r="GG630" s="41"/>
      <c r="GH630" s="41"/>
      <c r="GI630" s="41"/>
      <c r="GJ630" s="41"/>
      <c r="GK630" s="41"/>
      <c r="GL630" s="41"/>
      <c r="GM630" s="41"/>
      <c r="GN630" s="41"/>
      <c r="GO630" s="41"/>
      <c r="GP630" s="41"/>
      <c r="GQ630" s="41"/>
      <c r="GR630" s="41"/>
      <c r="GS630" s="41"/>
      <c r="GT630" s="41"/>
      <c r="GU630" s="41"/>
      <c r="GV630" s="41"/>
      <c r="GW630" s="41"/>
      <c r="GX630" s="41"/>
      <c r="GY630" s="41"/>
      <c r="GZ630" s="41"/>
      <c r="HA630" s="41"/>
      <c r="HB630" s="41"/>
      <c r="HC630" s="41"/>
      <c r="HD630" s="41"/>
      <c r="HE630" s="41"/>
      <c r="HF630" s="41"/>
      <c r="HG630" s="41"/>
      <c r="HH630" s="41"/>
      <c r="HI630" s="41"/>
      <c r="HJ630" s="41"/>
      <c r="HK630" s="41"/>
      <c r="HL630" s="41"/>
      <c r="HM630" s="41"/>
      <c r="HN630" s="41"/>
      <c r="HO630" s="41"/>
      <c r="HP630" s="41"/>
      <c r="HQ630" s="41"/>
      <c r="HR630" s="41"/>
      <c r="HS630" s="41"/>
      <c r="HT630" s="41"/>
      <c r="HU630" s="41"/>
      <c r="HV630" s="41"/>
      <c r="HW630" s="41"/>
      <c r="HX630" s="41"/>
      <c r="HY630" s="41"/>
      <c r="HZ630" s="41"/>
      <c r="IA630" s="41"/>
      <c r="IB630" s="41"/>
      <c r="IC630" s="41"/>
      <c r="ID630" s="41"/>
      <c r="IE630" s="41"/>
      <c r="IF630" s="41"/>
      <c r="IG630" s="41"/>
      <c r="IH630" s="41"/>
      <c r="II630" s="41"/>
      <c r="IJ630" s="41"/>
      <c r="IK630" s="41"/>
      <c r="IL630" s="41"/>
    </row>
    <row r="631" spans="1:246" ht="30" customHeight="1" x14ac:dyDescent="0.2">
      <c r="A631" s="264" t="s">
        <v>915</v>
      </c>
      <c r="B631" s="263" t="s">
        <v>917</v>
      </c>
      <c r="C631" s="262">
        <v>0</v>
      </c>
      <c r="D631" s="262">
        <v>150000</v>
      </c>
      <c r="E631" s="492"/>
      <c r="F631" s="9"/>
      <c r="G631" s="126"/>
      <c r="H631" s="126"/>
      <c r="I631" s="126"/>
      <c r="J631" s="14"/>
    </row>
    <row r="632" spans="1:246" ht="30" customHeight="1" x14ac:dyDescent="0.2">
      <c r="A632" s="261" t="s">
        <v>916</v>
      </c>
      <c r="B632" s="260" t="s">
        <v>918</v>
      </c>
      <c r="C632" s="259">
        <v>0</v>
      </c>
      <c r="D632" s="259">
        <v>150000</v>
      </c>
      <c r="E632" s="10"/>
      <c r="F632" s="10"/>
      <c r="G632" s="126"/>
      <c r="H632" s="126"/>
      <c r="I632" s="126"/>
      <c r="J632" s="14"/>
    </row>
    <row r="633" spans="1:246" ht="30" customHeight="1" thickBot="1" x14ac:dyDescent="0.25">
      <c r="A633" s="119"/>
      <c r="B633" s="118"/>
      <c r="C633" s="117"/>
      <c r="D633" s="117"/>
      <c r="E633" s="134"/>
      <c r="F633" s="134"/>
      <c r="G633" s="486"/>
      <c r="H633" s="486"/>
      <c r="I633" s="486"/>
      <c r="J633" s="14"/>
    </row>
    <row r="634" spans="1:246" customFormat="1" ht="30" customHeight="1" thickBot="1" x14ac:dyDescent="0.25">
      <c r="A634" s="116"/>
      <c r="B634" s="115" t="s">
        <v>155</v>
      </c>
      <c r="C634" s="114">
        <f>SUM(C635,C636,C660,C694,C747,C763,C764,C768)</f>
        <v>224822000</v>
      </c>
      <c r="D634" s="114">
        <f>SUM(D635,D636,D660,D694,D747,D763,D764,D768)</f>
        <v>222087754.03</v>
      </c>
      <c r="E634" s="181"/>
      <c r="F634" s="181"/>
      <c r="G634" s="571"/>
      <c r="H634" s="181"/>
      <c r="I634" s="181"/>
      <c r="J634" s="6"/>
    </row>
    <row r="635" spans="1:246" customFormat="1" ht="30" customHeight="1" x14ac:dyDescent="0.2">
      <c r="A635" s="113">
        <v>3122</v>
      </c>
      <c r="B635" s="112" t="s">
        <v>154</v>
      </c>
      <c r="C635" s="111">
        <v>376000</v>
      </c>
      <c r="D635" s="111">
        <v>376000</v>
      </c>
      <c r="E635" s="120"/>
      <c r="F635" s="120"/>
      <c r="G635" s="120"/>
      <c r="H635" s="120"/>
      <c r="I635" s="120"/>
      <c r="J635" s="14"/>
    </row>
    <row r="636" spans="1:246" customFormat="1" ht="30" customHeight="1" x14ac:dyDescent="0.2">
      <c r="A636" s="59">
        <v>3412</v>
      </c>
      <c r="B636" s="91" t="s">
        <v>153</v>
      </c>
      <c r="C636" s="57">
        <f>C637+C650</f>
        <v>38471000</v>
      </c>
      <c r="D636" s="57">
        <f>D637+D650</f>
        <v>32979000</v>
      </c>
      <c r="E636" s="121"/>
      <c r="F636" s="121"/>
      <c r="G636" s="120"/>
      <c r="H636" s="120"/>
      <c r="I636" s="120"/>
      <c r="J636" s="14"/>
    </row>
    <row r="637" spans="1:246" customFormat="1" ht="30" customHeight="1" x14ac:dyDescent="0.2">
      <c r="A637" s="59"/>
      <c r="B637" s="110" t="s">
        <v>152</v>
      </c>
      <c r="C637" s="57">
        <f>C638+C641+C646</f>
        <v>25637000</v>
      </c>
      <c r="D637" s="57">
        <f>D638+D641+D646</f>
        <v>22895000</v>
      </c>
      <c r="E637" s="121"/>
      <c r="F637" s="121"/>
      <c r="G637" s="120"/>
      <c r="H637" s="120"/>
      <c r="I637" s="120"/>
      <c r="J637" s="14"/>
    </row>
    <row r="638" spans="1:246" customFormat="1" ht="30" customHeight="1" x14ac:dyDescent="0.2">
      <c r="A638" s="59"/>
      <c r="B638" s="69" t="s">
        <v>132</v>
      </c>
      <c r="C638" s="52">
        <f>SUM(C639:C640)</f>
        <v>1600000</v>
      </c>
      <c r="D638" s="52">
        <f>SUM(D639:D640)</f>
        <v>500000</v>
      </c>
      <c r="E638" s="130"/>
      <c r="F638" s="130"/>
      <c r="G638" s="126"/>
      <c r="H638" s="126"/>
      <c r="I638" s="126"/>
      <c r="J638" s="14"/>
    </row>
    <row r="639" spans="1:246" customFormat="1" ht="30" customHeight="1" x14ac:dyDescent="0.2">
      <c r="A639" s="59"/>
      <c r="B639" s="102" t="s">
        <v>151</v>
      </c>
      <c r="C639" s="108">
        <v>1300000</v>
      </c>
      <c r="D639" s="108">
        <f>1300000-1100000</f>
        <v>200000</v>
      </c>
      <c r="E639" s="130"/>
      <c r="F639" s="130"/>
      <c r="G639" s="126"/>
      <c r="H639" s="126"/>
      <c r="I639" s="126"/>
      <c r="J639" s="14"/>
    </row>
    <row r="640" spans="1:246" customFormat="1" ht="30" customHeight="1" x14ac:dyDescent="0.2">
      <c r="A640" s="59"/>
      <c r="B640" s="102" t="s">
        <v>150</v>
      </c>
      <c r="C640" s="75">
        <v>300000</v>
      </c>
      <c r="D640" s="75">
        <v>300000</v>
      </c>
      <c r="E640" s="130"/>
      <c r="F640" s="10"/>
      <c r="G640" s="126"/>
      <c r="H640" s="126"/>
      <c r="I640" s="126"/>
      <c r="J640" s="14"/>
    </row>
    <row r="641" spans="1:10" customFormat="1" ht="30" customHeight="1" x14ac:dyDescent="0.2">
      <c r="A641" s="59"/>
      <c r="B641" s="78" t="s">
        <v>149</v>
      </c>
      <c r="C641" s="52">
        <f>SUM(C642:C645)</f>
        <v>850000</v>
      </c>
      <c r="D641" s="52">
        <f>SUM(D642:D645)</f>
        <v>343400</v>
      </c>
      <c r="E641" s="130"/>
      <c r="F641" s="10"/>
      <c r="G641" s="126"/>
      <c r="H641" s="126"/>
      <c r="I641" s="126"/>
      <c r="J641" s="14"/>
    </row>
    <row r="642" spans="1:10" customFormat="1" ht="30" customHeight="1" x14ac:dyDescent="0.2">
      <c r="A642" s="59"/>
      <c r="B642" s="78" t="s">
        <v>869</v>
      </c>
      <c r="C642" s="10">
        <v>200000</v>
      </c>
      <c r="D642" s="10">
        <f>200000-6600</f>
        <v>193400</v>
      </c>
      <c r="E642" s="130"/>
      <c r="F642" s="130"/>
      <c r="G642" s="126"/>
      <c r="H642" s="126"/>
      <c r="I642" s="126"/>
      <c r="J642" s="14"/>
    </row>
    <row r="643" spans="1:10" customFormat="1" ht="30" customHeight="1" x14ac:dyDescent="0.2">
      <c r="A643" s="59"/>
      <c r="B643" s="78" t="s">
        <v>148</v>
      </c>
      <c r="C643" s="10">
        <v>100000</v>
      </c>
      <c r="D643" s="10">
        <v>100000</v>
      </c>
      <c r="E643" s="130"/>
      <c r="F643" s="130"/>
      <c r="G643" s="126"/>
      <c r="H643" s="126"/>
      <c r="I643" s="126"/>
      <c r="J643" s="14"/>
    </row>
    <row r="644" spans="1:10" customFormat="1" ht="30" customHeight="1" x14ac:dyDescent="0.2">
      <c r="A644" s="59"/>
      <c r="B644" s="62" t="s">
        <v>147</v>
      </c>
      <c r="C644" s="10">
        <v>150000</v>
      </c>
      <c r="D644" s="10">
        <f>150000-100000</f>
        <v>50000</v>
      </c>
      <c r="E644" s="130"/>
      <c r="F644" s="130"/>
      <c r="G644" s="126"/>
      <c r="H644" s="126"/>
      <c r="I644" s="126"/>
      <c r="J644" s="14"/>
    </row>
    <row r="645" spans="1:10" customFormat="1" ht="30" customHeight="1" x14ac:dyDescent="0.2">
      <c r="A645" s="59"/>
      <c r="B645" s="78" t="s">
        <v>146</v>
      </c>
      <c r="C645" s="10">
        <v>400000</v>
      </c>
      <c r="D645" s="10">
        <f>400000-400000</f>
        <v>0</v>
      </c>
      <c r="E645" s="10"/>
      <c r="F645" s="10"/>
      <c r="G645" s="126"/>
      <c r="H645" s="126"/>
      <c r="I645" s="126"/>
      <c r="J645" s="14"/>
    </row>
    <row r="646" spans="1:10" customFormat="1" ht="30" customHeight="1" x14ac:dyDescent="0.2">
      <c r="A646" s="59"/>
      <c r="B646" s="69" t="s">
        <v>140</v>
      </c>
      <c r="C646" s="57">
        <f>SUM(C647:C649)</f>
        <v>23187000</v>
      </c>
      <c r="D646" s="57">
        <f>SUM(D647:D649)</f>
        <v>22051600</v>
      </c>
      <c r="E646" s="122"/>
      <c r="F646" s="18"/>
      <c r="G646" s="120"/>
      <c r="H646" s="120"/>
      <c r="I646" s="120"/>
      <c r="J646" s="14"/>
    </row>
    <row r="647" spans="1:10" customFormat="1" ht="30" customHeight="1" x14ac:dyDescent="0.2">
      <c r="A647" s="54"/>
      <c r="B647" s="56" t="s">
        <v>145</v>
      </c>
      <c r="C647" s="10">
        <v>23142000</v>
      </c>
      <c r="D647" s="10">
        <f>23142000-1142000+6600</f>
        <v>22006600</v>
      </c>
      <c r="E647" s="127"/>
      <c r="F647" s="127"/>
      <c r="G647" s="126"/>
      <c r="H647" s="126"/>
      <c r="I647" s="126"/>
      <c r="J647" s="14"/>
    </row>
    <row r="648" spans="1:10" customFormat="1" ht="30" customHeight="1" x14ac:dyDescent="0.2">
      <c r="A648" s="54"/>
      <c r="B648" s="69" t="s">
        <v>144</v>
      </c>
      <c r="C648" s="10">
        <v>13000</v>
      </c>
      <c r="D648" s="10">
        <v>13000</v>
      </c>
      <c r="E648" s="127"/>
      <c r="F648" s="127"/>
      <c r="G648" s="126"/>
      <c r="H648" s="126"/>
      <c r="I648" s="126"/>
      <c r="J648" s="14"/>
    </row>
    <row r="649" spans="1:10" customFormat="1" ht="30" customHeight="1" x14ac:dyDescent="0.2">
      <c r="A649" s="54"/>
      <c r="B649" s="69" t="s">
        <v>143</v>
      </c>
      <c r="C649" s="10">
        <v>32000</v>
      </c>
      <c r="D649" s="10">
        <v>32000</v>
      </c>
      <c r="E649" s="127"/>
      <c r="F649" s="127"/>
      <c r="G649" s="126"/>
      <c r="H649" s="126"/>
      <c r="I649" s="126"/>
      <c r="J649" s="14"/>
    </row>
    <row r="650" spans="1:10" customFormat="1" ht="30" customHeight="1" x14ac:dyDescent="0.2">
      <c r="A650" s="54"/>
      <c r="B650" s="84" t="s">
        <v>142</v>
      </c>
      <c r="C650" s="57">
        <f>C651+C653+C656</f>
        <v>12834000</v>
      </c>
      <c r="D650" s="57">
        <f>D651+D653+D656</f>
        <v>10084000</v>
      </c>
      <c r="E650" s="521"/>
      <c r="F650" s="521"/>
      <c r="G650" s="120"/>
      <c r="H650" s="120"/>
      <c r="I650" s="120"/>
      <c r="J650" s="14"/>
    </row>
    <row r="651" spans="1:10" customFormat="1" ht="30" customHeight="1" x14ac:dyDescent="0.2">
      <c r="A651" s="54"/>
      <c r="B651" s="69" t="s">
        <v>132</v>
      </c>
      <c r="C651" s="64">
        <f>SUM(C652:C652)</f>
        <v>800000</v>
      </c>
      <c r="D651" s="64">
        <f>SUM(D652:D652)</f>
        <v>200000</v>
      </c>
      <c r="E651" s="152"/>
      <c r="F651" s="127"/>
      <c r="G651" s="126"/>
      <c r="H651" s="126"/>
      <c r="I651" s="126"/>
      <c r="J651" s="14"/>
    </row>
    <row r="652" spans="1:10" customFormat="1" ht="30" customHeight="1" x14ac:dyDescent="0.2">
      <c r="A652" s="54"/>
      <c r="B652" s="53" t="s">
        <v>141</v>
      </c>
      <c r="C652" s="10">
        <v>800000</v>
      </c>
      <c r="D652" s="10">
        <f>800000-600000</f>
        <v>200000</v>
      </c>
      <c r="E652" s="503"/>
      <c r="F652" s="127"/>
      <c r="G652" s="126"/>
      <c r="H652" s="126"/>
      <c r="I652" s="126"/>
      <c r="J652" s="129"/>
    </row>
    <row r="653" spans="1:10" customFormat="1" ht="30" customHeight="1" x14ac:dyDescent="0.2">
      <c r="A653" s="54"/>
      <c r="B653" s="69" t="s">
        <v>140</v>
      </c>
      <c r="C653" s="52">
        <f>SUM(C654:C655)</f>
        <v>9884000</v>
      </c>
      <c r="D653" s="52">
        <f>SUM(D654:D655)</f>
        <v>9034000</v>
      </c>
      <c r="E653" s="127"/>
      <c r="F653" s="127"/>
      <c r="G653" s="126"/>
      <c r="H653" s="126"/>
      <c r="I653" s="126"/>
      <c r="J653" s="14"/>
    </row>
    <row r="654" spans="1:10" customFormat="1" ht="30" customHeight="1" x14ac:dyDescent="0.2">
      <c r="A654" s="54"/>
      <c r="B654" s="69" t="s">
        <v>139</v>
      </c>
      <c r="C654" s="10">
        <v>9850000</v>
      </c>
      <c r="D654" s="10">
        <f>9850000-850000</f>
        <v>9000000</v>
      </c>
      <c r="E654" s="127"/>
      <c r="F654" s="127"/>
      <c r="G654" s="126"/>
      <c r="H654" s="126"/>
      <c r="I654" s="126"/>
      <c r="J654" s="14"/>
    </row>
    <row r="655" spans="1:10" customFormat="1" ht="30" customHeight="1" x14ac:dyDescent="0.2">
      <c r="A655" s="54"/>
      <c r="B655" s="69" t="s">
        <v>138</v>
      </c>
      <c r="C655" s="10">
        <v>34000</v>
      </c>
      <c r="D655" s="10">
        <v>34000</v>
      </c>
      <c r="E655" s="127"/>
      <c r="F655" s="2"/>
      <c r="G655" s="126"/>
      <c r="H655" s="126"/>
      <c r="I655" s="126"/>
      <c r="J655" s="14"/>
    </row>
    <row r="656" spans="1:10" customFormat="1" ht="30" customHeight="1" x14ac:dyDescent="0.2">
      <c r="A656" s="54"/>
      <c r="B656" s="69" t="s">
        <v>137</v>
      </c>
      <c r="C656" s="52">
        <f>SUM(C657:C659)</f>
        <v>2150000</v>
      </c>
      <c r="D656" s="52">
        <f>SUM(D657:D659)</f>
        <v>850000</v>
      </c>
      <c r="E656" s="504"/>
      <c r="F656" s="127"/>
      <c r="G656" s="126"/>
      <c r="H656" s="126"/>
      <c r="I656" s="126"/>
      <c r="J656" s="14"/>
    </row>
    <row r="657" spans="1:10" customFormat="1" ht="30" customHeight="1" x14ac:dyDescent="0.2">
      <c r="A657" s="54"/>
      <c r="B657" s="69" t="s">
        <v>136</v>
      </c>
      <c r="C657" s="10">
        <v>500000</v>
      </c>
      <c r="D657" s="10">
        <v>500000</v>
      </c>
      <c r="E657" s="127"/>
      <c r="F657" s="127"/>
      <c r="G657" s="126"/>
      <c r="H657" s="126"/>
      <c r="I657" s="126"/>
      <c r="J657" s="14"/>
    </row>
    <row r="658" spans="1:10" customFormat="1" ht="30" customHeight="1" x14ac:dyDescent="0.2">
      <c r="A658" s="107"/>
      <c r="B658" s="69" t="s">
        <v>135</v>
      </c>
      <c r="C658" s="10">
        <v>900000</v>
      </c>
      <c r="D658" s="10">
        <f>900000-700000</f>
        <v>200000</v>
      </c>
      <c r="E658" s="127"/>
      <c r="F658" s="127"/>
      <c r="G658" s="126"/>
      <c r="H658" s="126"/>
      <c r="I658" s="126"/>
      <c r="J658" s="14"/>
    </row>
    <row r="659" spans="1:10" customFormat="1" ht="30" customHeight="1" x14ac:dyDescent="0.2">
      <c r="A659" s="54"/>
      <c r="B659" s="69" t="s">
        <v>134</v>
      </c>
      <c r="C659" s="10">
        <v>750000</v>
      </c>
      <c r="D659" s="10">
        <f>750000-600000</f>
        <v>150000</v>
      </c>
      <c r="E659" s="127"/>
      <c r="F659" s="127"/>
      <c r="G659" s="126"/>
      <c r="H659" s="126"/>
      <c r="I659" s="126"/>
      <c r="J659" s="14"/>
    </row>
    <row r="660" spans="1:10" s="106" customFormat="1" ht="30" customHeight="1" x14ac:dyDescent="0.2">
      <c r="A660" s="59">
        <v>3612</v>
      </c>
      <c r="B660" s="91" t="s">
        <v>133</v>
      </c>
      <c r="C660" s="63">
        <f>C661+C668</f>
        <v>129014000</v>
      </c>
      <c r="D660" s="63">
        <f>D661+D668</f>
        <v>141762460</v>
      </c>
      <c r="E660" s="122"/>
      <c r="F660" s="122"/>
      <c r="G660" s="120"/>
      <c r="H660" s="120"/>
      <c r="I660" s="120"/>
      <c r="J660" s="14"/>
    </row>
    <row r="661" spans="1:10" customFormat="1" ht="30" customHeight="1" x14ac:dyDescent="0.2">
      <c r="A661" s="59"/>
      <c r="B661" s="69" t="s">
        <v>132</v>
      </c>
      <c r="C661" s="64">
        <f>SUM(C662:C667)</f>
        <v>89954000</v>
      </c>
      <c r="D661" s="64">
        <f>SUM(D662:D667)</f>
        <v>104102460</v>
      </c>
      <c r="E661" s="127"/>
      <c r="F661" s="127"/>
      <c r="G661" s="126"/>
      <c r="H661" s="126"/>
      <c r="I661" s="126"/>
      <c r="J661" s="14"/>
    </row>
    <row r="662" spans="1:10" customFormat="1" ht="30" customHeight="1" x14ac:dyDescent="0.2">
      <c r="A662" s="59"/>
      <c r="B662" s="69" t="s">
        <v>131</v>
      </c>
      <c r="C662" s="105">
        <v>654000</v>
      </c>
      <c r="D662" s="105">
        <f>654000+15000000-501540</f>
        <v>15152460</v>
      </c>
      <c r="E662" s="133"/>
      <c r="F662" s="133"/>
      <c r="G662" s="126"/>
      <c r="H662" s="126"/>
      <c r="I662" s="126"/>
      <c r="J662" s="14"/>
    </row>
    <row r="663" spans="1:10" customFormat="1" ht="30" customHeight="1" x14ac:dyDescent="0.2">
      <c r="A663" s="86"/>
      <c r="B663" s="78" t="s">
        <v>130</v>
      </c>
      <c r="C663" s="103">
        <v>14500000</v>
      </c>
      <c r="D663" s="103">
        <v>14500000</v>
      </c>
      <c r="E663" s="127"/>
      <c r="F663" s="127"/>
      <c r="G663" s="126"/>
      <c r="H663" s="126"/>
      <c r="I663" s="126"/>
      <c r="J663" s="14"/>
    </row>
    <row r="664" spans="1:10" customFormat="1" ht="30" customHeight="1" x14ac:dyDescent="0.2">
      <c r="A664" s="86"/>
      <c r="B664" s="78" t="s">
        <v>129</v>
      </c>
      <c r="C664" s="100">
        <v>9500000</v>
      </c>
      <c r="D664" s="100">
        <v>9500000</v>
      </c>
      <c r="E664" s="10"/>
      <c r="F664" s="10"/>
      <c r="G664" s="126"/>
      <c r="H664" s="126"/>
      <c r="I664" s="126"/>
      <c r="J664" s="506"/>
    </row>
    <row r="665" spans="1:10" customFormat="1" ht="30" customHeight="1" x14ac:dyDescent="0.2">
      <c r="A665" s="86"/>
      <c r="B665" s="78" t="s">
        <v>128</v>
      </c>
      <c r="C665" s="103">
        <v>65000000</v>
      </c>
      <c r="D665" s="103">
        <f>65000000-1200000</f>
        <v>63800000</v>
      </c>
      <c r="E665" s="10"/>
      <c r="F665" s="10"/>
      <c r="G665" s="126"/>
      <c r="H665" s="126"/>
      <c r="I665" s="126"/>
      <c r="J665" s="14"/>
    </row>
    <row r="666" spans="1:10" s="73" customFormat="1" ht="30" customHeight="1" x14ac:dyDescent="0.2">
      <c r="A666" s="94"/>
      <c r="B666" s="102" t="s">
        <v>896</v>
      </c>
      <c r="C666" s="101">
        <v>300000</v>
      </c>
      <c r="D666" s="101">
        <v>300000</v>
      </c>
      <c r="E666" s="133"/>
      <c r="F666" s="133"/>
      <c r="G666" s="126"/>
      <c r="H666" s="126"/>
      <c r="I666" s="126"/>
      <c r="J666" s="14"/>
    </row>
    <row r="667" spans="1:10" s="73" customFormat="1" ht="30" customHeight="1" x14ac:dyDescent="0.2">
      <c r="A667" s="94"/>
      <c r="B667" s="102" t="s">
        <v>897</v>
      </c>
      <c r="C667" s="101">
        <v>0</v>
      </c>
      <c r="D667" s="101">
        <v>850000</v>
      </c>
      <c r="E667" s="133"/>
      <c r="F667" s="133"/>
      <c r="G667" s="126"/>
      <c r="H667" s="126"/>
      <c r="I667" s="126"/>
      <c r="J667" s="14"/>
    </row>
    <row r="668" spans="1:10" customFormat="1" ht="30" customHeight="1" x14ac:dyDescent="0.2">
      <c r="A668" s="59"/>
      <c r="B668" s="69" t="s">
        <v>127</v>
      </c>
      <c r="C668" s="9">
        <f>C669+C672+C677+C682+C684+SUM(C689:C693)</f>
        <v>39060000</v>
      </c>
      <c r="D668" s="9">
        <f>D669+D672+D677+D682+D684+SUM(D689:D693)</f>
        <v>37660000</v>
      </c>
      <c r="E668" s="127"/>
      <c r="F668" s="127"/>
      <c r="G668" s="126"/>
      <c r="H668" s="126"/>
      <c r="I668" s="126"/>
      <c r="J668" s="14"/>
    </row>
    <row r="669" spans="1:10" customFormat="1" ht="30" customHeight="1" x14ac:dyDescent="0.2">
      <c r="A669" s="59"/>
      <c r="B669" s="84" t="s">
        <v>126</v>
      </c>
      <c r="C669" s="554">
        <f>SUM(C670:C671)</f>
        <v>7250000</v>
      </c>
      <c r="D669" s="554">
        <f>SUM(D670:D671)</f>
        <v>7250000</v>
      </c>
      <c r="E669" s="505"/>
      <c r="F669" s="505"/>
      <c r="G669" s="500"/>
      <c r="H669" s="500"/>
      <c r="I669" s="500"/>
      <c r="J669" s="14"/>
    </row>
    <row r="670" spans="1:10" customFormat="1" ht="30" customHeight="1" x14ac:dyDescent="0.2">
      <c r="A670" s="54"/>
      <c r="B670" s="78" t="s">
        <v>125</v>
      </c>
      <c r="C670" s="10">
        <v>5750000</v>
      </c>
      <c r="D670" s="10">
        <f>5750000-2500000</f>
        <v>3250000</v>
      </c>
      <c r="E670" s="127"/>
      <c r="F670" s="127"/>
      <c r="G670" s="126"/>
      <c r="H670" s="126"/>
      <c r="I670" s="126"/>
      <c r="J670" s="6"/>
    </row>
    <row r="671" spans="1:10" customFormat="1" ht="30" customHeight="1" x14ac:dyDescent="0.2">
      <c r="A671" s="54"/>
      <c r="B671" s="56" t="s">
        <v>124</v>
      </c>
      <c r="C671" s="10">
        <v>1500000</v>
      </c>
      <c r="D671" s="10">
        <f>1500000-1000000+3500000</f>
        <v>4000000</v>
      </c>
      <c r="E671" s="10"/>
      <c r="F671" s="10"/>
      <c r="G671" s="126"/>
      <c r="H671" s="126"/>
      <c r="I671" s="126"/>
      <c r="J671" s="14"/>
    </row>
    <row r="672" spans="1:10" customFormat="1" ht="30" customHeight="1" x14ac:dyDescent="0.2">
      <c r="A672" s="59"/>
      <c r="B672" s="56" t="s">
        <v>123</v>
      </c>
      <c r="C672" s="79">
        <f>C673+C674</f>
        <v>3300000</v>
      </c>
      <c r="D672" s="79">
        <f>D673+D674</f>
        <v>2400000</v>
      </c>
      <c r="E672" s="502"/>
      <c r="F672" s="502"/>
      <c r="G672" s="501"/>
      <c r="H672" s="126"/>
      <c r="I672" s="126"/>
      <c r="J672" s="14"/>
    </row>
    <row r="673" spans="1:10" customFormat="1" ht="30" customHeight="1" x14ac:dyDescent="0.2">
      <c r="A673" s="54"/>
      <c r="B673" s="56" t="s">
        <v>118</v>
      </c>
      <c r="C673" s="10">
        <v>2000000</v>
      </c>
      <c r="D673" s="10">
        <v>2000000</v>
      </c>
      <c r="E673" s="127"/>
      <c r="F673" s="127"/>
      <c r="G673" s="126"/>
      <c r="H673" s="126"/>
      <c r="I673" s="126"/>
      <c r="J673" s="14"/>
    </row>
    <row r="674" spans="1:10" customFormat="1" ht="30" customHeight="1" x14ac:dyDescent="0.2">
      <c r="A674" s="54"/>
      <c r="B674" s="56" t="s">
        <v>122</v>
      </c>
      <c r="C674" s="52">
        <f>SUM(C675:C676)</f>
        <v>1300000</v>
      </c>
      <c r="D674" s="52">
        <f>SUM(D675:D676)</f>
        <v>400000</v>
      </c>
      <c r="E674" s="127"/>
      <c r="F674" s="127"/>
      <c r="G674" s="126"/>
      <c r="H674" s="126"/>
      <c r="I674" s="126"/>
      <c r="J674" s="14"/>
    </row>
    <row r="675" spans="1:10" s="73" customFormat="1" ht="30" customHeight="1" x14ac:dyDescent="0.2">
      <c r="A675" s="94"/>
      <c r="B675" s="61" t="s">
        <v>121</v>
      </c>
      <c r="C675" s="99">
        <v>300000</v>
      </c>
      <c r="D675" s="99">
        <v>300000</v>
      </c>
      <c r="E675" s="127"/>
      <c r="F675" s="127"/>
      <c r="G675" s="126"/>
      <c r="H675" s="126"/>
      <c r="I675" s="126"/>
      <c r="J675" s="14"/>
    </row>
    <row r="676" spans="1:10" s="73" customFormat="1" ht="30" customHeight="1" x14ac:dyDescent="0.2">
      <c r="A676" s="94"/>
      <c r="B676" s="61" t="s">
        <v>120</v>
      </c>
      <c r="C676" s="98">
        <v>1000000</v>
      </c>
      <c r="D676" s="98">
        <f>1000000-900000</f>
        <v>100000</v>
      </c>
      <c r="E676" s="127"/>
      <c r="F676" s="127"/>
      <c r="G676" s="126"/>
      <c r="H676" s="126"/>
      <c r="I676" s="126"/>
      <c r="J676" s="14"/>
    </row>
    <row r="677" spans="1:10" s="73" customFormat="1" ht="30" customHeight="1" x14ac:dyDescent="0.2">
      <c r="A677" s="54"/>
      <c r="B677" s="56" t="s">
        <v>119</v>
      </c>
      <c r="C677" s="79">
        <f>C678+C679</f>
        <v>3100000</v>
      </c>
      <c r="D677" s="79">
        <f>D678+D679</f>
        <v>3100000</v>
      </c>
      <c r="E677" s="502"/>
      <c r="F677" s="502"/>
      <c r="G677" s="501"/>
      <c r="H677" s="501"/>
      <c r="I677" s="126"/>
      <c r="J677" s="14"/>
    </row>
    <row r="678" spans="1:10" customFormat="1" ht="30" customHeight="1" x14ac:dyDescent="0.2">
      <c r="A678" s="529"/>
      <c r="B678" s="69" t="s">
        <v>118</v>
      </c>
      <c r="C678" s="10">
        <v>2500000</v>
      </c>
      <c r="D678" s="10">
        <v>2500000</v>
      </c>
      <c r="E678" s="127"/>
      <c r="F678" s="127"/>
      <c r="G678" s="126"/>
      <c r="H678" s="126"/>
      <c r="I678" s="126"/>
      <c r="J678" s="14"/>
    </row>
    <row r="679" spans="1:10" customFormat="1" ht="30" customHeight="1" x14ac:dyDescent="0.2">
      <c r="A679" s="54"/>
      <c r="B679" s="69" t="s">
        <v>117</v>
      </c>
      <c r="C679" s="52">
        <f>SUM(C680:C681)</f>
        <v>600000</v>
      </c>
      <c r="D679" s="52">
        <f>SUM(D680:D681)</f>
        <v>600000</v>
      </c>
      <c r="E679" s="130"/>
      <c r="F679" s="130"/>
      <c r="G679" s="126"/>
      <c r="H679" s="126"/>
      <c r="I679" s="126"/>
      <c r="J679" s="14"/>
    </row>
    <row r="680" spans="1:10" s="73" customFormat="1" ht="30" customHeight="1" x14ac:dyDescent="0.2">
      <c r="A680" s="94"/>
      <c r="B680" s="78" t="s">
        <v>116</v>
      </c>
      <c r="C680" s="80">
        <v>300000</v>
      </c>
      <c r="D680" s="80">
        <v>300000</v>
      </c>
      <c r="E680" s="130"/>
      <c r="F680" s="10"/>
      <c r="G680" s="126"/>
      <c r="H680" s="126"/>
      <c r="I680" s="126"/>
      <c r="J680" s="14"/>
    </row>
    <row r="681" spans="1:10" s="73" customFormat="1" ht="30" customHeight="1" x14ac:dyDescent="0.2">
      <c r="A681" s="94"/>
      <c r="B681" s="97" t="s">
        <v>115</v>
      </c>
      <c r="C681" s="96">
        <v>300000</v>
      </c>
      <c r="D681" s="96">
        <v>300000</v>
      </c>
      <c r="E681" s="130"/>
      <c r="F681" s="130"/>
      <c r="G681" s="126"/>
      <c r="H681" s="126"/>
      <c r="I681" s="126"/>
      <c r="J681" s="14"/>
    </row>
    <row r="682" spans="1:10" s="73" customFormat="1" ht="30" customHeight="1" x14ac:dyDescent="0.2">
      <c r="A682" s="54"/>
      <c r="B682" s="69" t="s">
        <v>114</v>
      </c>
      <c r="C682" s="95">
        <v>0</v>
      </c>
      <c r="D682" s="95">
        <v>0</v>
      </c>
      <c r="E682" s="499"/>
      <c r="F682" s="499"/>
      <c r="G682" s="501"/>
      <c r="H682" s="501"/>
      <c r="I682" s="126"/>
      <c r="J682" s="14"/>
    </row>
    <row r="683" spans="1:10" customFormat="1" ht="30" customHeight="1" x14ac:dyDescent="0.2">
      <c r="A683" s="54"/>
      <c r="B683" s="69" t="s">
        <v>113</v>
      </c>
      <c r="C683" s="9">
        <v>0</v>
      </c>
      <c r="D683" s="9">
        <v>0</v>
      </c>
      <c r="E683" s="130"/>
      <c r="F683" s="130"/>
      <c r="G683" s="126"/>
      <c r="H683" s="126"/>
      <c r="I683" s="126"/>
      <c r="J683" s="14"/>
    </row>
    <row r="684" spans="1:10" customFormat="1" ht="30" customHeight="1" x14ac:dyDescent="0.2">
      <c r="A684" s="54"/>
      <c r="B684" s="56" t="s">
        <v>112</v>
      </c>
      <c r="C684" s="82">
        <f>C685+C686</f>
        <v>2500000</v>
      </c>
      <c r="D684" s="82">
        <f>D685+D686</f>
        <v>2000000</v>
      </c>
      <c r="E684" s="499"/>
      <c r="F684" s="499"/>
      <c r="G684" s="501"/>
      <c r="H684" s="501"/>
      <c r="I684" s="501"/>
      <c r="J684" s="14"/>
    </row>
    <row r="685" spans="1:10" customFormat="1" ht="30" customHeight="1" x14ac:dyDescent="0.2">
      <c r="A685" s="54"/>
      <c r="B685" s="69" t="s">
        <v>111</v>
      </c>
      <c r="C685" s="9">
        <v>1500000</v>
      </c>
      <c r="D685" s="9">
        <v>1500000</v>
      </c>
      <c r="E685" s="130"/>
      <c r="F685" s="130"/>
      <c r="G685" s="126"/>
      <c r="H685" s="126"/>
      <c r="I685" s="126"/>
      <c r="J685" s="14"/>
    </row>
    <row r="686" spans="1:10" customFormat="1" ht="30" customHeight="1" x14ac:dyDescent="0.2">
      <c r="A686" s="54"/>
      <c r="B686" s="85" t="s">
        <v>110</v>
      </c>
      <c r="C686" s="64">
        <f>SUM(C687:C688)</f>
        <v>1000000</v>
      </c>
      <c r="D686" s="64">
        <f>SUM(D687:D688)</f>
        <v>500000</v>
      </c>
      <c r="E686" s="130"/>
      <c r="F686" s="130"/>
      <c r="G686" s="126"/>
      <c r="H686" s="126"/>
      <c r="I686" s="126"/>
      <c r="J686" s="14"/>
    </row>
    <row r="687" spans="1:10" s="73" customFormat="1" ht="30" customHeight="1" x14ac:dyDescent="0.2">
      <c r="A687" s="94"/>
      <c r="B687" s="77" t="s">
        <v>109</v>
      </c>
      <c r="C687" s="9">
        <v>500000</v>
      </c>
      <c r="D687" s="9">
        <f>500000-500000</f>
        <v>0</v>
      </c>
      <c r="E687" s="130"/>
      <c r="F687" s="130"/>
      <c r="G687" s="126"/>
      <c r="H687" s="126"/>
      <c r="I687" s="126"/>
      <c r="J687" s="14"/>
    </row>
    <row r="688" spans="1:10" s="73" customFormat="1" ht="30" customHeight="1" x14ac:dyDescent="0.2">
      <c r="A688" s="94"/>
      <c r="B688" s="93" t="s">
        <v>108</v>
      </c>
      <c r="C688" s="10">
        <v>500000</v>
      </c>
      <c r="D688" s="10">
        <v>500000</v>
      </c>
      <c r="E688" s="130"/>
      <c r="F688" s="130"/>
      <c r="G688" s="126"/>
      <c r="H688" s="126"/>
      <c r="I688" s="126"/>
      <c r="J688" s="14"/>
    </row>
    <row r="689" spans="1:10" s="73" customFormat="1" ht="30" customHeight="1" x14ac:dyDescent="0.2">
      <c r="A689" s="54"/>
      <c r="B689" s="69" t="s">
        <v>107</v>
      </c>
      <c r="C689" s="9">
        <v>260000</v>
      </c>
      <c r="D689" s="9">
        <v>260000</v>
      </c>
      <c r="E689" s="127"/>
      <c r="F689" s="127"/>
      <c r="G689" s="126"/>
      <c r="H689" s="126"/>
      <c r="I689" s="126"/>
      <c r="J689" s="129"/>
    </row>
    <row r="690" spans="1:10" customFormat="1" ht="30" customHeight="1" x14ac:dyDescent="0.2">
      <c r="A690" s="54"/>
      <c r="B690" s="78" t="s">
        <v>106</v>
      </c>
      <c r="C690" s="9">
        <v>2500000</v>
      </c>
      <c r="D690" s="9">
        <v>2500000</v>
      </c>
      <c r="E690" s="130"/>
      <c r="F690" s="130"/>
      <c r="G690" s="126"/>
      <c r="H690" s="126"/>
      <c r="I690" s="126"/>
      <c r="J690" s="14"/>
    </row>
    <row r="691" spans="1:10" customFormat="1" ht="30" customHeight="1" x14ac:dyDescent="0.2">
      <c r="A691" s="54"/>
      <c r="B691" s="78" t="s">
        <v>105</v>
      </c>
      <c r="C691" s="9">
        <v>100000</v>
      </c>
      <c r="D691" s="9">
        <v>100000</v>
      </c>
      <c r="E691" s="117"/>
      <c r="F691" s="11"/>
      <c r="G691" s="126"/>
      <c r="H691" s="126"/>
      <c r="I691" s="126"/>
      <c r="J691" s="14"/>
    </row>
    <row r="692" spans="1:10" customFormat="1" ht="30" customHeight="1" x14ac:dyDescent="0.2">
      <c r="A692" s="54"/>
      <c r="B692" s="78" t="s">
        <v>104</v>
      </c>
      <c r="C692" s="9">
        <v>20000000</v>
      </c>
      <c r="D692" s="9">
        <v>20000000</v>
      </c>
      <c r="E692" s="117"/>
      <c r="F692" s="117"/>
      <c r="G692" s="126"/>
      <c r="H692" s="126"/>
      <c r="I692" s="126"/>
      <c r="J692" s="14"/>
    </row>
    <row r="693" spans="1:10" customFormat="1" ht="30" customHeight="1" x14ac:dyDescent="0.2">
      <c r="A693" s="92"/>
      <c r="B693" s="85" t="s">
        <v>103</v>
      </c>
      <c r="C693" s="9">
        <v>50000</v>
      </c>
      <c r="D693" s="9">
        <v>50000</v>
      </c>
      <c r="E693" s="130"/>
      <c r="F693" s="130"/>
      <c r="G693" s="126"/>
      <c r="H693" s="126"/>
      <c r="I693" s="126"/>
      <c r="J693" s="6"/>
    </row>
    <row r="694" spans="1:10" customFormat="1" ht="30" customHeight="1" x14ac:dyDescent="0.2">
      <c r="A694" s="71">
        <v>3613</v>
      </c>
      <c r="B694" s="91" t="s">
        <v>102</v>
      </c>
      <c r="C694" s="24">
        <f>C695+C704+C705+C706+C711+C722+C723</f>
        <v>25001000</v>
      </c>
      <c r="D694" s="24">
        <f>D695+D704+D705+D706+D711+D722+D723</f>
        <v>28910294.030000001</v>
      </c>
      <c r="E694" s="121"/>
      <c r="F694" s="121"/>
      <c r="G694" s="120"/>
      <c r="H694" s="120"/>
      <c r="I694" s="120"/>
      <c r="J694" s="6"/>
    </row>
    <row r="695" spans="1:10" customFormat="1" ht="30" customHeight="1" x14ac:dyDescent="0.2">
      <c r="A695" s="76"/>
      <c r="B695" s="69" t="s">
        <v>101</v>
      </c>
      <c r="C695" s="52">
        <f>SUM(C696:C703)</f>
        <v>6843000</v>
      </c>
      <c r="D695" s="52">
        <f>SUM(D696:D703)</f>
        <v>11043000</v>
      </c>
      <c r="E695" s="130"/>
      <c r="F695" s="151"/>
      <c r="G695" s="126"/>
      <c r="H695" s="126"/>
      <c r="I695" s="126"/>
      <c r="J695" s="6"/>
    </row>
    <row r="696" spans="1:10" customFormat="1" ht="30" customHeight="1" x14ac:dyDescent="0.2">
      <c r="A696" s="59"/>
      <c r="B696" s="78" t="s">
        <v>100</v>
      </c>
      <c r="C696" s="89">
        <v>750000</v>
      </c>
      <c r="D696" s="89">
        <v>750000</v>
      </c>
      <c r="E696" s="133"/>
      <c r="F696" s="133"/>
      <c r="G696" s="126"/>
      <c r="H696" s="126"/>
      <c r="I696" s="126"/>
      <c r="J696" s="14"/>
    </row>
    <row r="697" spans="1:10" customFormat="1" ht="30" customHeight="1" x14ac:dyDescent="0.2">
      <c r="A697" s="59"/>
      <c r="B697" s="88" t="s">
        <v>99</v>
      </c>
      <c r="C697" s="64">
        <v>500000</v>
      </c>
      <c r="D697" s="64">
        <v>500000</v>
      </c>
      <c r="E697" s="127"/>
      <c r="F697" s="127"/>
      <c r="G697" s="126"/>
      <c r="H697" s="126"/>
      <c r="I697" s="126"/>
      <c r="J697" s="6"/>
    </row>
    <row r="698" spans="1:10" customFormat="1" ht="30" customHeight="1" x14ac:dyDescent="0.2">
      <c r="A698" s="59"/>
      <c r="B698" s="67" t="s">
        <v>98</v>
      </c>
      <c r="C698" s="64">
        <v>100000</v>
      </c>
      <c r="D698" s="64">
        <v>100000</v>
      </c>
      <c r="E698" s="127"/>
      <c r="F698" s="127"/>
      <c r="G698" s="126"/>
      <c r="H698" s="126"/>
      <c r="I698" s="126"/>
      <c r="J698" s="6"/>
    </row>
    <row r="699" spans="1:10" customFormat="1" ht="30" customHeight="1" x14ac:dyDescent="0.2">
      <c r="A699" s="71"/>
      <c r="B699" s="67" t="s">
        <v>893</v>
      </c>
      <c r="C699" s="9">
        <v>393000</v>
      </c>
      <c r="D699" s="9">
        <f>393000-100000</f>
        <v>293000</v>
      </c>
      <c r="E699" s="127"/>
      <c r="F699" s="127"/>
      <c r="G699" s="126"/>
      <c r="H699" s="126"/>
      <c r="I699" s="126"/>
      <c r="J699" s="14"/>
    </row>
    <row r="700" spans="1:10" customFormat="1" ht="30" customHeight="1" x14ac:dyDescent="0.2">
      <c r="A700" s="71"/>
      <c r="B700" s="69" t="s">
        <v>97</v>
      </c>
      <c r="C700" s="9">
        <v>2300000</v>
      </c>
      <c r="D700" s="9">
        <f>2300000-2300000</f>
        <v>0</v>
      </c>
      <c r="E700" s="127"/>
      <c r="F700" s="127"/>
      <c r="G700" s="126"/>
      <c r="H700" s="126"/>
      <c r="I700" s="126"/>
      <c r="J700" s="6"/>
    </row>
    <row r="701" spans="1:10" customFormat="1" ht="30" customHeight="1" x14ac:dyDescent="0.2">
      <c r="A701" s="71"/>
      <c r="B701" s="88" t="s">
        <v>96</v>
      </c>
      <c r="C701" s="9">
        <v>100000</v>
      </c>
      <c r="D701" s="9">
        <v>100000</v>
      </c>
      <c r="E701" s="152"/>
      <c r="F701" s="152"/>
      <c r="G701" s="126"/>
      <c r="H701" s="126"/>
      <c r="I701" s="126"/>
      <c r="J701" s="6"/>
    </row>
    <row r="702" spans="1:10" customFormat="1" ht="30" customHeight="1" x14ac:dyDescent="0.2">
      <c r="A702" s="71"/>
      <c r="B702" s="69" t="s">
        <v>911</v>
      </c>
      <c r="C702" s="10">
        <v>2000000</v>
      </c>
      <c r="D702" s="10">
        <f>2000000+(6000000+3200000-2000000)</f>
        <v>9200000</v>
      </c>
      <c r="E702" s="537"/>
      <c r="F702" s="127"/>
      <c r="G702" s="126"/>
      <c r="H702" s="130"/>
      <c r="I702" s="151"/>
      <c r="J702" s="6"/>
    </row>
    <row r="703" spans="1:10" customFormat="1" ht="30" customHeight="1" x14ac:dyDescent="0.2">
      <c r="A703" s="71"/>
      <c r="B703" s="69" t="s">
        <v>95</v>
      </c>
      <c r="C703" s="9">
        <v>700000</v>
      </c>
      <c r="D703" s="9">
        <f>700000-600000</f>
        <v>100000</v>
      </c>
      <c r="E703" s="133"/>
      <c r="F703" s="133"/>
      <c r="G703" s="126"/>
      <c r="H703" s="130"/>
      <c r="I703" s="151"/>
      <c r="J703" s="14"/>
    </row>
    <row r="704" spans="1:10" customFormat="1" ht="30" customHeight="1" x14ac:dyDescent="0.2">
      <c r="A704" s="76"/>
      <c r="B704" s="87" t="s">
        <v>94</v>
      </c>
      <c r="C704" s="9">
        <v>30000</v>
      </c>
      <c r="D704" s="9">
        <v>30000</v>
      </c>
      <c r="E704" s="152"/>
      <c r="F704" s="152"/>
      <c r="G704" s="126"/>
      <c r="H704" s="130"/>
      <c r="I704" s="151"/>
      <c r="J704" s="14"/>
    </row>
    <row r="705" spans="1:10" customFormat="1" ht="30" customHeight="1" x14ac:dyDescent="0.3">
      <c r="A705" s="76"/>
      <c r="B705" s="87" t="s">
        <v>93</v>
      </c>
      <c r="C705" s="9">
        <v>50000</v>
      </c>
      <c r="D705" s="9">
        <v>50000</v>
      </c>
      <c r="E705" s="592"/>
      <c r="F705" s="206"/>
      <c r="G705" s="126"/>
      <c r="H705" s="130"/>
      <c r="I705" s="151"/>
      <c r="J705" s="14"/>
    </row>
    <row r="706" spans="1:10" customFormat="1" ht="30" customHeight="1" x14ac:dyDescent="0.2">
      <c r="A706" s="76"/>
      <c r="B706" s="87" t="s">
        <v>92</v>
      </c>
      <c r="C706" s="9">
        <f>SUM(C707:C710)</f>
        <v>5100000</v>
      </c>
      <c r="D706" s="9">
        <f>SUM(D707:D710)</f>
        <v>5100000</v>
      </c>
      <c r="E706" s="507"/>
      <c r="F706" s="507"/>
      <c r="G706" s="126"/>
      <c r="H706" s="130"/>
      <c r="I706" s="151"/>
      <c r="J706" s="6"/>
    </row>
    <row r="707" spans="1:10" customFormat="1" ht="30" customHeight="1" x14ac:dyDescent="0.2">
      <c r="A707" s="59"/>
      <c r="B707" s="85" t="s">
        <v>91</v>
      </c>
      <c r="C707" s="52">
        <v>800000</v>
      </c>
      <c r="D707" s="52">
        <v>800000</v>
      </c>
      <c r="E707" s="126"/>
      <c r="F707" s="126"/>
      <c r="G707" s="126"/>
      <c r="H707" s="130"/>
      <c r="I707" s="151"/>
      <c r="J707" s="6"/>
    </row>
    <row r="708" spans="1:10" customFormat="1" ht="30" customHeight="1" x14ac:dyDescent="0.2">
      <c r="A708" s="59"/>
      <c r="B708" s="85" t="s">
        <v>90</v>
      </c>
      <c r="C708" s="52">
        <v>1500000</v>
      </c>
      <c r="D708" s="52">
        <v>1500000</v>
      </c>
      <c r="E708" s="130"/>
      <c r="F708" s="130"/>
      <c r="G708" s="126"/>
      <c r="H708" s="130"/>
      <c r="I708" s="151"/>
      <c r="J708" s="14"/>
    </row>
    <row r="709" spans="1:10" customFormat="1" ht="30" customHeight="1" x14ac:dyDescent="0.2">
      <c r="A709" s="59"/>
      <c r="B709" s="85" t="s">
        <v>89</v>
      </c>
      <c r="C709" s="52">
        <v>1100000</v>
      </c>
      <c r="D709" s="52">
        <v>1100000</v>
      </c>
      <c r="E709" s="130"/>
      <c r="F709" s="130"/>
      <c r="G709" s="126"/>
      <c r="H709" s="130"/>
      <c r="I709" s="151"/>
      <c r="J709" s="14"/>
    </row>
    <row r="710" spans="1:10" customFormat="1" ht="30" customHeight="1" x14ac:dyDescent="0.2">
      <c r="A710" s="59"/>
      <c r="B710" s="85" t="s">
        <v>88</v>
      </c>
      <c r="C710" s="10">
        <v>1700000</v>
      </c>
      <c r="D710" s="10">
        <v>1700000</v>
      </c>
      <c r="E710" s="130"/>
      <c r="F710" s="130"/>
      <c r="G710" s="126"/>
      <c r="H710" s="130"/>
      <c r="I710" s="151"/>
      <c r="J710" s="14"/>
    </row>
    <row r="711" spans="1:10" customFormat="1" ht="30" customHeight="1" x14ac:dyDescent="0.2">
      <c r="A711" s="76"/>
      <c r="B711" s="87" t="s">
        <v>87</v>
      </c>
      <c r="C711" s="10">
        <f>SUM(C712:C721)</f>
        <v>4250000</v>
      </c>
      <c r="D711" s="10">
        <f>SUM(D712:D721)</f>
        <v>4260700</v>
      </c>
      <c r="E711" s="130"/>
      <c r="F711" s="130"/>
      <c r="G711" s="126"/>
      <c r="H711" s="130"/>
      <c r="I711" s="151"/>
      <c r="J711" s="14"/>
    </row>
    <row r="712" spans="1:10" customFormat="1" ht="30" customHeight="1" x14ac:dyDescent="0.2">
      <c r="A712" s="59"/>
      <c r="B712" s="69" t="s">
        <v>86</v>
      </c>
      <c r="C712" s="10">
        <v>200000</v>
      </c>
      <c r="D712" s="10">
        <v>200000</v>
      </c>
      <c r="E712" s="130"/>
      <c r="F712" s="130"/>
      <c r="G712" s="126"/>
      <c r="H712" s="130"/>
      <c r="I712" s="151"/>
      <c r="J712" s="14"/>
    </row>
    <row r="713" spans="1:10" customFormat="1" ht="30" customHeight="1" x14ac:dyDescent="0.2">
      <c r="A713" s="59"/>
      <c r="B713" s="69" t="s">
        <v>85</v>
      </c>
      <c r="C713" s="10">
        <v>50000</v>
      </c>
      <c r="D713" s="10">
        <v>50000</v>
      </c>
      <c r="E713" s="130"/>
      <c r="F713" s="121"/>
      <c r="G713" s="126"/>
      <c r="H713" s="130"/>
      <c r="I713" s="151"/>
      <c r="J713" s="6"/>
    </row>
    <row r="714" spans="1:10" customFormat="1" ht="30" customHeight="1" x14ac:dyDescent="0.2">
      <c r="A714" s="59"/>
      <c r="B714" s="85" t="s">
        <v>84</v>
      </c>
      <c r="C714" s="10">
        <v>1300000</v>
      </c>
      <c r="D714" s="10">
        <v>1300000</v>
      </c>
      <c r="E714" s="130"/>
      <c r="F714" s="130"/>
      <c r="G714" s="126"/>
      <c r="H714" s="130"/>
      <c r="I714" s="151"/>
      <c r="J714" s="14"/>
    </row>
    <row r="715" spans="1:10" customFormat="1" ht="30" customHeight="1" x14ac:dyDescent="0.2">
      <c r="A715" s="59"/>
      <c r="B715" s="56" t="s">
        <v>83</v>
      </c>
      <c r="C715" s="10">
        <v>100000</v>
      </c>
      <c r="D715" s="10">
        <v>100000</v>
      </c>
      <c r="E715" s="126"/>
      <c r="F715" s="126"/>
      <c r="G715" s="126"/>
      <c r="H715" s="130"/>
      <c r="I715" s="151"/>
      <c r="J715" s="14"/>
    </row>
    <row r="716" spans="1:10" customFormat="1" ht="30" customHeight="1" x14ac:dyDescent="0.2">
      <c r="A716" s="59"/>
      <c r="B716" s="67" t="s">
        <v>82</v>
      </c>
      <c r="C716" s="10">
        <v>250000</v>
      </c>
      <c r="D716" s="10">
        <v>250000</v>
      </c>
      <c r="E716" s="126"/>
      <c r="F716" s="126"/>
      <c r="G716" s="126"/>
      <c r="H716" s="130"/>
      <c r="I716" s="151"/>
      <c r="J716" s="14"/>
    </row>
    <row r="717" spans="1:10" customFormat="1" ht="30" customHeight="1" x14ac:dyDescent="0.2">
      <c r="A717" s="59"/>
      <c r="B717" s="69" t="s">
        <v>81</v>
      </c>
      <c r="C717" s="10">
        <v>700000</v>
      </c>
      <c r="D717" s="10">
        <v>700000</v>
      </c>
      <c r="E717" s="130"/>
      <c r="F717" s="130"/>
      <c r="G717" s="126"/>
      <c r="H717" s="130"/>
      <c r="I717" s="151"/>
      <c r="J717" s="14"/>
    </row>
    <row r="718" spans="1:10" customFormat="1" ht="30" customHeight="1" x14ac:dyDescent="0.2">
      <c r="A718" s="59"/>
      <c r="B718" s="67" t="s">
        <v>80</v>
      </c>
      <c r="C718" s="10">
        <v>1550000</v>
      </c>
      <c r="D718" s="10">
        <f>1550000+10700</f>
        <v>1560700</v>
      </c>
      <c r="E718" s="130"/>
      <c r="F718" s="130"/>
      <c r="G718" s="126"/>
      <c r="H718" s="130"/>
      <c r="I718" s="151"/>
      <c r="J718" s="14"/>
    </row>
    <row r="719" spans="1:10" customFormat="1" ht="30" customHeight="1" x14ac:dyDescent="0.2">
      <c r="A719" s="86"/>
      <c r="B719" s="85" t="s">
        <v>79</v>
      </c>
      <c r="C719" s="10">
        <v>50000</v>
      </c>
      <c r="D719" s="10">
        <v>50000</v>
      </c>
      <c r="E719" s="130"/>
      <c r="F719" s="130"/>
      <c r="G719" s="126"/>
      <c r="H719" s="130"/>
      <c r="I719" s="151"/>
      <c r="J719" s="14"/>
    </row>
    <row r="720" spans="1:10" customFormat="1" ht="30" customHeight="1" x14ac:dyDescent="0.2">
      <c r="A720" s="76"/>
      <c r="B720" s="69" t="s">
        <v>78</v>
      </c>
      <c r="C720" s="10">
        <v>15000</v>
      </c>
      <c r="D720" s="10">
        <v>15000</v>
      </c>
      <c r="E720" s="130"/>
      <c r="F720" s="130"/>
      <c r="G720" s="126"/>
      <c r="H720" s="130"/>
      <c r="I720" s="151"/>
      <c r="J720" s="14"/>
    </row>
    <row r="721" spans="1:10" customFormat="1" ht="30" customHeight="1" x14ac:dyDescent="0.2">
      <c r="A721" s="76"/>
      <c r="B721" s="78" t="s">
        <v>77</v>
      </c>
      <c r="C721" s="10">
        <v>35000</v>
      </c>
      <c r="D721" s="10">
        <v>35000</v>
      </c>
      <c r="E721" s="130"/>
      <c r="F721" s="130"/>
      <c r="G721" s="126"/>
      <c r="H721" s="130"/>
      <c r="I721" s="151"/>
      <c r="J721" s="14"/>
    </row>
    <row r="722" spans="1:10" customFormat="1" ht="30" customHeight="1" x14ac:dyDescent="0.2">
      <c r="A722" s="76"/>
      <c r="B722" s="69" t="s">
        <v>76</v>
      </c>
      <c r="C722" s="10">
        <f>C724+C732+C741</f>
        <v>8242000</v>
      </c>
      <c r="D722" s="10">
        <f>D724+D732+D741</f>
        <v>7892000</v>
      </c>
      <c r="E722" s="130"/>
      <c r="F722" s="130"/>
      <c r="G722" s="126"/>
      <c r="H722" s="130"/>
      <c r="I722" s="151"/>
      <c r="J722" s="14"/>
    </row>
    <row r="723" spans="1:10" customFormat="1" ht="30" customHeight="1" x14ac:dyDescent="0.2">
      <c r="A723" s="76"/>
      <c r="B723" s="67" t="s">
        <v>894</v>
      </c>
      <c r="C723" s="10">
        <v>486000</v>
      </c>
      <c r="D723" s="10">
        <f>486000+48594.03</f>
        <v>534594.03</v>
      </c>
      <c r="E723" s="130"/>
      <c r="F723" s="130"/>
      <c r="G723" s="126"/>
      <c r="H723" s="130"/>
      <c r="I723" s="151"/>
      <c r="J723" s="14"/>
    </row>
    <row r="724" spans="1:10" customFormat="1" ht="30" customHeight="1" x14ac:dyDescent="0.2">
      <c r="A724" s="59"/>
      <c r="B724" s="84" t="s">
        <v>75</v>
      </c>
      <c r="C724" s="83">
        <f>C725+C726</f>
        <v>4742000</v>
      </c>
      <c r="D724" s="83">
        <f>D725+D726</f>
        <v>4692000</v>
      </c>
      <c r="E724" s="499"/>
      <c r="F724" s="499"/>
      <c r="G724" s="501"/>
      <c r="H724" s="130"/>
      <c r="I724" s="594"/>
      <c r="J724" s="14"/>
    </row>
    <row r="725" spans="1:10" customFormat="1" ht="30" customHeight="1" x14ac:dyDescent="0.2">
      <c r="A725" s="59"/>
      <c r="B725" s="69" t="s">
        <v>74</v>
      </c>
      <c r="C725" s="10">
        <v>1500000</v>
      </c>
      <c r="D725" s="10">
        <v>1500000</v>
      </c>
      <c r="E725" s="130"/>
      <c r="F725" s="130"/>
      <c r="G725" s="126"/>
      <c r="H725" s="130"/>
      <c r="I725" s="151"/>
      <c r="J725" s="14"/>
    </row>
    <row r="726" spans="1:10" customFormat="1" ht="30" customHeight="1" x14ac:dyDescent="0.2">
      <c r="A726" s="59"/>
      <c r="B726" s="69" t="s">
        <v>73</v>
      </c>
      <c r="C726" s="10">
        <f xml:space="preserve"> SUM(C727:C731)</f>
        <v>3242000</v>
      </c>
      <c r="D726" s="10">
        <f xml:space="preserve"> SUM(D727:D731)</f>
        <v>3192000</v>
      </c>
      <c r="E726" s="130"/>
      <c r="F726" s="130"/>
      <c r="G726" s="126"/>
      <c r="H726" s="130"/>
      <c r="I726" s="151"/>
      <c r="J726" s="14"/>
    </row>
    <row r="727" spans="1:10" s="73" customFormat="1" ht="30" customHeight="1" x14ac:dyDescent="0.2">
      <c r="A727" s="76"/>
      <c r="B727" s="77" t="s">
        <v>72</v>
      </c>
      <c r="C727" s="10">
        <v>2192000</v>
      </c>
      <c r="D727" s="10">
        <v>2192000</v>
      </c>
      <c r="E727" s="127"/>
      <c r="F727" s="127"/>
      <c r="G727" s="126"/>
      <c r="H727" s="130"/>
      <c r="I727" s="130"/>
      <c r="J727" s="14"/>
    </row>
    <row r="728" spans="1:10" s="73" customFormat="1" ht="30" customHeight="1" x14ac:dyDescent="0.2">
      <c r="A728" s="76"/>
      <c r="B728" s="81" t="s">
        <v>71</v>
      </c>
      <c r="C728" s="80">
        <v>600000</v>
      </c>
      <c r="D728" s="80">
        <f>600000-400000</f>
        <v>200000</v>
      </c>
      <c r="E728" s="531"/>
      <c r="F728" s="531"/>
      <c r="G728" s="126"/>
      <c r="H728" s="130"/>
      <c r="I728" s="130"/>
      <c r="J728" s="6"/>
    </row>
    <row r="729" spans="1:10" s="73" customFormat="1" ht="30" customHeight="1" x14ac:dyDescent="0.2">
      <c r="A729" s="76"/>
      <c r="B729" s="81" t="s">
        <v>70</v>
      </c>
      <c r="C729" s="80">
        <v>200000</v>
      </c>
      <c r="D729" s="80">
        <v>200000</v>
      </c>
      <c r="E729" s="530"/>
      <c r="F729" s="496"/>
      <c r="G729" s="126"/>
      <c r="H729" s="130"/>
      <c r="I729" s="130"/>
      <c r="J729" s="14"/>
    </row>
    <row r="730" spans="1:10" s="73" customFormat="1" ht="30" customHeight="1" x14ac:dyDescent="0.2">
      <c r="A730" s="76"/>
      <c r="B730" s="81" t="s">
        <v>69</v>
      </c>
      <c r="C730" s="80">
        <v>250000</v>
      </c>
      <c r="D730" s="80">
        <v>250000</v>
      </c>
      <c r="E730" s="530"/>
      <c r="F730" s="496"/>
      <c r="G730" s="126"/>
      <c r="H730" s="130"/>
      <c r="I730" s="130"/>
      <c r="J730" s="6"/>
    </row>
    <row r="731" spans="1:10" s="73" customFormat="1" ht="30" customHeight="1" x14ac:dyDescent="0.2">
      <c r="A731" s="76"/>
      <c r="B731" s="81" t="s">
        <v>910</v>
      </c>
      <c r="C731" s="80">
        <v>0</v>
      </c>
      <c r="D731" s="80">
        <v>350000</v>
      </c>
      <c r="E731" s="530"/>
      <c r="F731" s="496"/>
      <c r="G731" s="126"/>
      <c r="H731" s="130"/>
      <c r="I731" s="130"/>
      <c r="J731" s="6"/>
    </row>
    <row r="732" spans="1:10" s="73" customFormat="1" ht="30" customHeight="1" x14ac:dyDescent="0.2">
      <c r="A732" s="59"/>
      <c r="B732" s="69" t="s">
        <v>68</v>
      </c>
      <c r="C732" s="79">
        <f>SUM(C733:C734)</f>
        <v>2700000</v>
      </c>
      <c r="D732" s="79">
        <f>SUM(D733:D734)</f>
        <v>2400000</v>
      </c>
      <c r="E732" s="555"/>
      <c r="F732" s="555"/>
      <c r="G732" s="501"/>
      <c r="H732" s="130"/>
      <c r="I732" s="499"/>
      <c r="J732" s="14"/>
    </row>
    <row r="733" spans="1:10" s="73" customFormat="1" ht="30" customHeight="1" x14ac:dyDescent="0.2">
      <c r="A733" s="59"/>
      <c r="B733" s="69" t="s">
        <v>67</v>
      </c>
      <c r="C733" s="52">
        <v>600000</v>
      </c>
      <c r="D733" s="52">
        <v>600000</v>
      </c>
      <c r="E733" s="530"/>
      <c r="F733" s="496"/>
      <c r="G733" s="126"/>
      <c r="H733" s="130"/>
      <c r="I733" s="130"/>
      <c r="J733" s="6"/>
    </row>
    <row r="734" spans="1:10" s="73" customFormat="1" ht="30" customHeight="1" x14ac:dyDescent="0.2">
      <c r="A734" s="59"/>
      <c r="B734" s="69" t="s">
        <v>66</v>
      </c>
      <c r="C734" s="52">
        <f>SUM(C735:C740)</f>
        <v>2100000</v>
      </c>
      <c r="D734" s="52">
        <f>SUM(D735:D740)</f>
        <v>1800000</v>
      </c>
      <c r="E734" s="530"/>
      <c r="F734" s="496"/>
      <c r="G734" s="126"/>
      <c r="H734" s="130"/>
      <c r="I734" s="130"/>
      <c r="J734" s="14"/>
    </row>
    <row r="735" spans="1:10" customFormat="1" ht="30" customHeight="1" x14ac:dyDescent="0.2">
      <c r="A735" s="76"/>
      <c r="B735" s="78" t="s">
        <v>65</v>
      </c>
      <c r="C735" s="64">
        <v>500000</v>
      </c>
      <c r="D735" s="64">
        <f>500000-300000</f>
        <v>200000</v>
      </c>
      <c r="E735" s="530"/>
      <c r="F735" s="496"/>
      <c r="G735" s="126"/>
      <c r="H735" s="130"/>
      <c r="I735" s="130"/>
      <c r="J735" s="6"/>
    </row>
    <row r="736" spans="1:10" customFormat="1" ht="30" customHeight="1" x14ac:dyDescent="0.2">
      <c r="A736" s="76"/>
      <c r="B736" s="72" t="s">
        <v>64</v>
      </c>
      <c r="C736" s="52">
        <v>100000</v>
      </c>
      <c r="D736" s="52">
        <v>100000</v>
      </c>
      <c r="E736" s="530"/>
      <c r="F736" s="496"/>
      <c r="G736" s="126"/>
      <c r="H736" s="130"/>
      <c r="I736" s="130"/>
      <c r="J736" s="14"/>
    </row>
    <row r="737" spans="1:107" s="73" customFormat="1" ht="30" customHeight="1" x14ac:dyDescent="0.2">
      <c r="A737" s="76"/>
      <c r="B737" s="78" t="s">
        <v>63</v>
      </c>
      <c r="C737" s="52">
        <v>200000</v>
      </c>
      <c r="D737" s="52">
        <v>200000</v>
      </c>
      <c r="E737" s="530"/>
      <c r="F737" s="496"/>
      <c r="G737" s="126"/>
      <c r="H737" s="130"/>
      <c r="I737" s="130"/>
      <c r="J737" s="14"/>
    </row>
    <row r="738" spans="1:107" s="73" customFormat="1" ht="30" customHeight="1" x14ac:dyDescent="0.2">
      <c r="A738" s="76"/>
      <c r="B738" s="72" t="s">
        <v>62</v>
      </c>
      <c r="C738" s="9">
        <v>200000</v>
      </c>
      <c r="D738" s="9">
        <v>200000</v>
      </c>
      <c r="E738" s="530"/>
      <c r="F738" s="496"/>
      <c r="G738" s="126"/>
      <c r="H738" s="130"/>
      <c r="I738" s="130"/>
      <c r="J738" s="14"/>
    </row>
    <row r="739" spans="1:107" s="73" customFormat="1" ht="30" customHeight="1" x14ac:dyDescent="0.2">
      <c r="A739" s="76"/>
      <c r="B739" s="72" t="s">
        <v>61</v>
      </c>
      <c r="C739" s="10">
        <v>300000</v>
      </c>
      <c r="D739" s="10">
        <v>300000</v>
      </c>
      <c r="E739" s="530"/>
      <c r="F739" s="496"/>
      <c r="G739" s="126"/>
      <c r="H739" s="130"/>
      <c r="I739" s="130"/>
      <c r="J739" s="6"/>
    </row>
    <row r="740" spans="1:107" s="73" customFormat="1" ht="30" customHeight="1" x14ac:dyDescent="0.2">
      <c r="A740" s="76"/>
      <c r="B740" s="77" t="s">
        <v>60</v>
      </c>
      <c r="C740" s="9">
        <v>800000</v>
      </c>
      <c r="D740" s="9">
        <v>800000</v>
      </c>
      <c r="E740" s="530"/>
      <c r="F740" s="496"/>
      <c r="G740" s="126"/>
      <c r="H740" s="130"/>
      <c r="I740" s="130"/>
      <c r="J740" s="14"/>
    </row>
    <row r="741" spans="1:107" s="73" customFormat="1" ht="30" customHeight="1" x14ac:dyDescent="0.2">
      <c r="A741" s="59"/>
      <c r="B741" s="74" t="s">
        <v>59</v>
      </c>
      <c r="C741" s="64">
        <f>SUM(C742:C746)</f>
        <v>800000</v>
      </c>
      <c r="D741" s="64">
        <f>SUM(D742:D746)</f>
        <v>800000</v>
      </c>
      <c r="E741" s="530"/>
      <c r="F741" s="496"/>
      <c r="G741" s="126"/>
      <c r="H741" s="130"/>
      <c r="I741" s="130"/>
      <c r="J741" s="14"/>
    </row>
    <row r="742" spans="1:107" s="73" customFormat="1" ht="30" customHeight="1" x14ac:dyDescent="0.2">
      <c r="A742" s="59"/>
      <c r="B742" s="72" t="s">
        <v>58</v>
      </c>
      <c r="C742" s="64">
        <v>100000</v>
      </c>
      <c r="D742" s="64">
        <v>100000</v>
      </c>
      <c r="E742" s="530"/>
      <c r="F742" s="496"/>
      <c r="G742" s="126"/>
      <c r="H742" s="130"/>
      <c r="I742" s="130"/>
      <c r="J742" s="6"/>
    </row>
    <row r="743" spans="1:107" s="73" customFormat="1" ht="30" customHeight="1" x14ac:dyDescent="0.2">
      <c r="A743" s="59"/>
      <c r="B743" s="72" t="s">
        <v>57</v>
      </c>
      <c r="C743" s="64">
        <v>300000</v>
      </c>
      <c r="D743" s="64">
        <v>300000</v>
      </c>
      <c r="E743" s="530"/>
      <c r="F743" s="496"/>
      <c r="G743" s="126"/>
      <c r="H743" s="130"/>
      <c r="I743" s="130"/>
      <c r="J743" s="14"/>
    </row>
    <row r="744" spans="1:107" s="73" customFormat="1" ht="30" customHeight="1" x14ac:dyDescent="0.2">
      <c r="A744" s="59"/>
      <c r="B744" s="72" t="s">
        <v>56</v>
      </c>
      <c r="C744" s="64">
        <v>100000</v>
      </c>
      <c r="D744" s="64">
        <v>100000</v>
      </c>
      <c r="E744" s="530"/>
      <c r="F744" s="496"/>
      <c r="G744" s="126"/>
      <c r="H744" s="130"/>
      <c r="I744" s="130"/>
      <c r="J744" s="6"/>
    </row>
    <row r="745" spans="1:107" customFormat="1" ht="30" customHeight="1" x14ac:dyDescent="0.2">
      <c r="A745" s="59"/>
      <c r="B745" s="72" t="s">
        <v>55</v>
      </c>
      <c r="C745" s="52">
        <v>0</v>
      </c>
      <c r="D745" s="52">
        <v>0</v>
      </c>
      <c r="E745" s="530"/>
      <c r="F745" s="496"/>
      <c r="G745" s="126"/>
      <c r="H745" s="130"/>
      <c r="I745" s="130"/>
      <c r="J745" s="14"/>
    </row>
    <row r="746" spans="1:107" customFormat="1" ht="30" customHeight="1" x14ac:dyDescent="0.2">
      <c r="A746" s="71"/>
      <c r="B746" s="72" t="s">
        <v>54</v>
      </c>
      <c r="C746" s="52">
        <v>300000</v>
      </c>
      <c r="D746" s="52">
        <v>300000</v>
      </c>
      <c r="E746" s="530"/>
      <c r="F746" s="496"/>
      <c r="G746" s="126"/>
      <c r="H746" s="130"/>
      <c r="I746" s="130"/>
      <c r="J746" s="6"/>
    </row>
    <row r="747" spans="1:107" customFormat="1" ht="30" customHeight="1" x14ac:dyDescent="0.2">
      <c r="A747" s="71">
        <v>3634</v>
      </c>
      <c r="B747" s="58" t="s">
        <v>53</v>
      </c>
      <c r="C747" s="63">
        <f>SUM(C748:C752)</f>
        <v>28550000</v>
      </c>
      <c r="D747" s="63">
        <f>SUM(D748:D752)</f>
        <v>16100000</v>
      </c>
      <c r="E747" s="549"/>
      <c r="F747" s="549"/>
      <c r="G747" s="120"/>
      <c r="H747" s="121"/>
      <c r="I747" s="121"/>
      <c r="J747" s="14"/>
    </row>
    <row r="748" spans="1:107" customFormat="1" ht="30" customHeight="1" x14ac:dyDescent="0.2">
      <c r="A748" s="59"/>
      <c r="B748" s="67" t="s">
        <v>52</v>
      </c>
      <c r="C748" s="10">
        <v>200000</v>
      </c>
      <c r="D748" s="10">
        <v>200000</v>
      </c>
      <c r="E748" s="530"/>
      <c r="F748" s="496"/>
      <c r="G748" s="126"/>
      <c r="H748" s="130"/>
      <c r="I748" s="130"/>
      <c r="J748" s="6"/>
      <c r="K748" s="68"/>
      <c r="L748" s="68"/>
      <c r="M748" s="68"/>
      <c r="N748" s="68"/>
      <c r="O748" s="68"/>
      <c r="P748" s="68"/>
      <c r="Q748" s="68"/>
      <c r="R748" s="68"/>
      <c r="S748" s="68"/>
      <c r="T748" s="68"/>
      <c r="U748" s="68"/>
      <c r="V748" s="68"/>
      <c r="W748" s="68"/>
      <c r="X748" s="68"/>
      <c r="Y748" s="68"/>
      <c r="Z748" s="68"/>
      <c r="AA748" s="68"/>
      <c r="AB748" s="68"/>
      <c r="AC748" s="68"/>
      <c r="AD748" s="68"/>
      <c r="AE748" s="68"/>
      <c r="AF748" s="68"/>
      <c r="AG748" s="68"/>
      <c r="AH748" s="68"/>
      <c r="AI748" s="68"/>
      <c r="AJ748" s="68"/>
      <c r="AK748" s="68"/>
      <c r="AL748" s="68"/>
      <c r="AM748" s="68"/>
      <c r="AN748" s="68"/>
      <c r="AO748" s="68"/>
      <c r="AP748" s="68"/>
      <c r="AQ748" s="68"/>
      <c r="AR748" s="68"/>
      <c r="AS748" s="68"/>
      <c r="AT748" s="68"/>
      <c r="AU748" s="68"/>
      <c r="AV748" s="68"/>
      <c r="AW748" s="68"/>
      <c r="AX748" s="68"/>
      <c r="AY748" s="68"/>
      <c r="AZ748" s="68"/>
      <c r="BA748" s="68"/>
      <c r="BB748" s="68"/>
      <c r="BC748" s="68"/>
      <c r="BD748" s="68"/>
      <c r="BE748" s="68"/>
      <c r="BF748" s="68"/>
      <c r="BG748" s="68"/>
      <c r="BH748" s="68"/>
      <c r="BI748" s="68"/>
      <c r="BJ748" s="68"/>
      <c r="BK748" s="68"/>
      <c r="BL748" s="68"/>
      <c r="BM748" s="68"/>
      <c r="BN748" s="68"/>
      <c r="BO748" s="68"/>
      <c r="BP748" s="68"/>
      <c r="BQ748" s="68"/>
      <c r="BR748" s="68"/>
      <c r="BS748" s="68"/>
      <c r="BT748" s="68"/>
      <c r="BU748" s="68"/>
      <c r="BV748" s="68"/>
      <c r="BW748" s="68"/>
      <c r="BX748" s="68"/>
      <c r="BY748" s="68"/>
      <c r="BZ748" s="68"/>
      <c r="CA748" s="68"/>
      <c r="CB748" s="68"/>
      <c r="CC748" s="68"/>
      <c r="CD748" s="68"/>
      <c r="CE748" s="68"/>
      <c r="CF748" s="68"/>
      <c r="CG748" s="68"/>
      <c r="CH748" s="68"/>
      <c r="CI748" s="68"/>
      <c r="CJ748" s="68"/>
      <c r="CK748" s="68"/>
      <c r="CL748" s="68"/>
      <c r="CM748" s="68"/>
      <c r="CN748" s="68"/>
      <c r="CO748" s="68"/>
      <c r="CP748" s="68"/>
      <c r="CQ748" s="68"/>
      <c r="CR748" s="68"/>
      <c r="CS748" s="68"/>
      <c r="CT748" s="68"/>
      <c r="CU748" s="68"/>
      <c r="CV748" s="68"/>
      <c r="CW748" s="68"/>
      <c r="CX748" s="68"/>
      <c r="CY748" s="68"/>
      <c r="CZ748" s="68"/>
      <c r="DA748" s="68"/>
      <c r="DB748" s="68"/>
      <c r="DC748" s="68"/>
    </row>
    <row r="749" spans="1:107" customFormat="1" ht="30" customHeight="1" x14ac:dyDescent="0.2">
      <c r="A749" s="59"/>
      <c r="B749" s="67" t="s">
        <v>792</v>
      </c>
      <c r="C749" s="52">
        <v>500000</v>
      </c>
      <c r="D749" s="52">
        <v>500000</v>
      </c>
      <c r="E749" s="530"/>
      <c r="F749" s="496"/>
      <c r="G749" s="126"/>
      <c r="H749" s="130"/>
      <c r="I749" s="130"/>
      <c r="J749" s="14"/>
      <c r="K749" s="68"/>
      <c r="L749" s="68"/>
      <c r="M749" s="68"/>
      <c r="N749" s="68"/>
      <c r="O749" s="68"/>
      <c r="P749" s="68"/>
      <c r="Q749" s="68"/>
      <c r="R749" s="68"/>
      <c r="S749" s="68"/>
      <c r="T749" s="68"/>
      <c r="U749" s="68"/>
      <c r="V749" s="68"/>
      <c r="W749" s="68"/>
      <c r="X749" s="68"/>
      <c r="Y749" s="68"/>
      <c r="Z749" s="68"/>
      <c r="AA749" s="68"/>
      <c r="AB749" s="68"/>
      <c r="AC749" s="68"/>
      <c r="AD749" s="68"/>
      <c r="AE749" s="68"/>
      <c r="AF749" s="68"/>
      <c r="AG749" s="68"/>
      <c r="AH749" s="68"/>
      <c r="AI749" s="68"/>
      <c r="AJ749" s="68"/>
      <c r="AK749" s="68"/>
      <c r="AL749" s="68"/>
      <c r="AM749" s="68"/>
      <c r="AN749" s="68"/>
      <c r="AO749" s="68"/>
      <c r="AP749" s="68"/>
      <c r="AQ749" s="68"/>
      <c r="AR749" s="68"/>
      <c r="AS749" s="68"/>
      <c r="AT749" s="68"/>
      <c r="AU749" s="68"/>
      <c r="AV749" s="68"/>
      <c r="AW749" s="68"/>
      <c r="AX749" s="68"/>
      <c r="AY749" s="68"/>
      <c r="AZ749" s="68"/>
      <c r="BA749" s="68"/>
      <c r="BB749" s="68"/>
      <c r="BC749" s="68"/>
      <c r="BD749" s="68"/>
      <c r="BE749" s="68"/>
      <c r="BF749" s="68"/>
      <c r="BG749" s="68"/>
      <c r="BH749" s="68"/>
      <c r="BI749" s="68"/>
      <c r="BJ749" s="68"/>
      <c r="BK749" s="68"/>
      <c r="BL749" s="68"/>
      <c r="BM749" s="68"/>
      <c r="BN749" s="68"/>
      <c r="BO749" s="68"/>
      <c r="BP749" s="68"/>
      <c r="BQ749" s="68"/>
      <c r="BR749" s="68"/>
      <c r="BS749" s="68"/>
      <c r="BT749" s="68"/>
      <c r="BU749" s="68"/>
      <c r="BV749" s="68"/>
      <c r="BW749" s="68"/>
      <c r="BX749" s="68"/>
      <c r="BY749" s="68"/>
      <c r="BZ749" s="68"/>
      <c r="CA749" s="68"/>
      <c r="CB749" s="68"/>
      <c r="CC749" s="68"/>
      <c r="CD749" s="68"/>
      <c r="CE749" s="68"/>
      <c r="CF749" s="68"/>
      <c r="CG749" s="68"/>
      <c r="CH749" s="68"/>
      <c r="CI749" s="68"/>
      <c r="CJ749" s="68"/>
      <c r="CK749" s="68"/>
      <c r="CL749" s="68"/>
      <c r="CM749" s="68"/>
      <c r="CN749" s="68"/>
      <c r="CO749" s="68"/>
      <c r="CP749" s="68"/>
      <c r="CQ749" s="68"/>
      <c r="CR749" s="68"/>
      <c r="CS749" s="68"/>
      <c r="CT749" s="68"/>
      <c r="CU749" s="68"/>
      <c r="CV749" s="68"/>
      <c r="CW749" s="68"/>
      <c r="CX749" s="68"/>
      <c r="CY749" s="68"/>
      <c r="CZ749" s="68"/>
      <c r="DA749" s="68"/>
      <c r="DB749" s="68"/>
      <c r="DC749" s="68"/>
    </row>
    <row r="750" spans="1:107" s="70" customFormat="1" ht="30" customHeight="1" x14ac:dyDescent="0.2">
      <c r="A750" s="59"/>
      <c r="B750" s="69" t="s">
        <v>51</v>
      </c>
      <c r="C750" s="64">
        <v>600000</v>
      </c>
      <c r="D750" s="64">
        <v>600000</v>
      </c>
      <c r="E750" s="530"/>
      <c r="F750" s="496"/>
      <c r="G750" s="126"/>
      <c r="H750" s="130"/>
      <c r="I750" s="130"/>
      <c r="J750" s="6"/>
      <c r="K750" s="68"/>
      <c r="L750" s="68"/>
      <c r="M750" s="68"/>
      <c r="N750" s="68"/>
      <c r="O750" s="68"/>
      <c r="P750" s="68"/>
      <c r="Q750" s="68"/>
      <c r="R750" s="68"/>
      <c r="S750" s="68"/>
      <c r="T750" s="68"/>
      <c r="U750" s="68"/>
      <c r="V750" s="68"/>
      <c r="W750" s="68"/>
      <c r="X750" s="68"/>
      <c r="Y750" s="68"/>
      <c r="Z750" s="68"/>
      <c r="AA750" s="68"/>
      <c r="AB750" s="68"/>
      <c r="AC750" s="68"/>
      <c r="AD750" s="68"/>
      <c r="AE750" s="68"/>
      <c r="AF750" s="68"/>
      <c r="AG750" s="68"/>
      <c r="AH750" s="68"/>
      <c r="AI750" s="68"/>
      <c r="AJ750" s="68"/>
      <c r="AK750" s="68"/>
      <c r="AL750" s="68"/>
      <c r="AM750" s="68"/>
      <c r="AN750" s="68"/>
      <c r="AO750" s="68"/>
      <c r="AP750" s="68"/>
      <c r="AQ750" s="68"/>
      <c r="AR750" s="68"/>
      <c r="AS750" s="68"/>
      <c r="AT750" s="68"/>
      <c r="AU750" s="68"/>
      <c r="AV750" s="68"/>
      <c r="AW750" s="68"/>
      <c r="AX750" s="68"/>
      <c r="AY750" s="68"/>
      <c r="AZ750" s="68"/>
      <c r="BA750" s="68"/>
      <c r="BB750" s="68"/>
      <c r="BC750" s="68"/>
      <c r="BD750" s="68"/>
      <c r="BE750" s="68"/>
      <c r="BF750" s="68"/>
      <c r="BG750" s="68"/>
      <c r="BH750" s="68"/>
      <c r="BI750" s="68"/>
      <c r="BJ750" s="68"/>
      <c r="BK750" s="68"/>
      <c r="BL750" s="68"/>
      <c r="BM750" s="68"/>
      <c r="BN750" s="68"/>
      <c r="BO750" s="68"/>
      <c r="BP750" s="68"/>
      <c r="BQ750" s="68"/>
      <c r="BR750" s="68"/>
      <c r="BS750" s="68"/>
      <c r="BT750" s="68"/>
      <c r="BU750" s="68"/>
      <c r="BV750" s="68"/>
      <c r="BW750" s="68"/>
      <c r="BX750" s="68"/>
      <c r="BY750" s="68"/>
      <c r="BZ750" s="68"/>
      <c r="CA750" s="68"/>
      <c r="CB750" s="68"/>
      <c r="CC750" s="68"/>
      <c r="CD750" s="68"/>
      <c r="CE750" s="68"/>
      <c r="CF750" s="68"/>
      <c r="CG750" s="68"/>
      <c r="CH750" s="68"/>
      <c r="CI750" s="68"/>
      <c r="CJ750" s="68"/>
      <c r="CK750" s="68"/>
      <c r="CL750" s="68"/>
      <c r="CM750" s="68"/>
      <c r="CN750" s="68"/>
      <c r="CO750" s="68"/>
      <c r="CP750" s="68"/>
      <c r="CQ750" s="68"/>
      <c r="CR750" s="68"/>
      <c r="CS750" s="68"/>
      <c r="CT750" s="68"/>
      <c r="CU750" s="68"/>
      <c r="CV750" s="68"/>
      <c r="CW750" s="68"/>
      <c r="CX750" s="68"/>
      <c r="CY750" s="68"/>
      <c r="CZ750" s="68"/>
      <c r="DA750" s="68"/>
      <c r="DB750" s="68"/>
      <c r="DC750" s="68"/>
    </row>
    <row r="751" spans="1:107" customFormat="1" ht="30" customHeight="1" x14ac:dyDescent="0.2">
      <c r="A751" s="59"/>
      <c r="B751" s="67" t="s">
        <v>50</v>
      </c>
      <c r="C751" s="52">
        <v>1000000</v>
      </c>
      <c r="D751" s="52">
        <v>1000000</v>
      </c>
      <c r="E751" s="530"/>
      <c r="F751" s="496"/>
      <c r="G751" s="126"/>
      <c r="H751" s="130"/>
      <c r="I751" s="130"/>
      <c r="J751" s="14"/>
      <c r="K751" s="68"/>
      <c r="L751" s="68"/>
      <c r="M751" s="68"/>
      <c r="N751" s="68"/>
      <c r="O751" s="68"/>
      <c r="P751" s="68"/>
      <c r="Q751" s="68"/>
      <c r="R751" s="68"/>
      <c r="S751" s="68"/>
      <c r="T751" s="68"/>
      <c r="U751" s="68"/>
      <c r="V751" s="68"/>
      <c r="W751" s="68"/>
      <c r="X751" s="68"/>
      <c r="Y751" s="68"/>
      <c r="Z751" s="68"/>
      <c r="AA751" s="68"/>
      <c r="AB751" s="68"/>
      <c r="AC751" s="68"/>
      <c r="AD751" s="68"/>
      <c r="AE751" s="68"/>
      <c r="AF751" s="68"/>
      <c r="AG751" s="68"/>
      <c r="AH751" s="68"/>
      <c r="AI751" s="68"/>
      <c r="AJ751" s="68"/>
      <c r="AK751" s="68"/>
      <c r="AL751" s="68"/>
      <c r="AM751" s="68"/>
      <c r="AN751" s="68"/>
      <c r="AO751" s="68"/>
      <c r="AP751" s="68"/>
      <c r="AQ751" s="68"/>
      <c r="AR751" s="68"/>
      <c r="AS751" s="68"/>
      <c r="AT751" s="68"/>
      <c r="AU751" s="68"/>
      <c r="AV751" s="68"/>
      <c r="AW751" s="68"/>
      <c r="AX751" s="68"/>
      <c r="AY751" s="68"/>
      <c r="AZ751" s="68"/>
      <c r="BA751" s="68"/>
      <c r="BB751" s="68"/>
      <c r="BC751" s="68"/>
      <c r="BD751" s="68"/>
      <c r="BE751" s="68"/>
      <c r="BF751" s="68"/>
      <c r="BG751" s="68"/>
      <c r="BH751" s="68"/>
      <c r="BI751" s="68"/>
      <c r="BJ751" s="68"/>
      <c r="BK751" s="68"/>
      <c r="BL751" s="68"/>
      <c r="BM751" s="68"/>
      <c r="BN751" s="68"/>
      <c r="BO751" s="68"/>
      <c r="BP751" s="68"/>
      <c r="BQ751" s="68"/>
      <c r="BR751" s="68"/>
      <c r="BS751" s="68"/>
      <c r="BT751" s="68"/>
      <c r="BU751" s="68"/>
      <c r="BV751" s="68"/>
      <c r="BW751" s="68"/>
      <c r="BX751" s="68"/>
      <c r="BY751" s="68"/>
      <c r="BZ751" s="68"/>
      <c r="CA751" s="68"/>
      <c r="CB751" s="68"/>
      <c r="CC751" s="68"/>
      <c r="CD751" s="68"/>
      <c r="CE751" s="68"/>
      <c r="CF751" s="68"/>
      <c r="CG751" s="68"/>
      <c r="CH751" s="68"/>
      <c r="CI751" s="68"/>
      <c r="CJ751" s="68"/>
      <c r="CK751" s="68"/>
      <c r="CL751" s="68"/>
      <c r="CM751" s="68"/>
      <c r="CN751" s="68"/>
      <c r="CO751" s="68"/>
      <c r="CP751" s="68"/>
      <c r="CQ751" s="68"/>
      <c r="CR751" s="68"/>
      <c r="CS751" s="68"/>
      <c r="CT751" s="68"/>
      <c r="CU751" s="68"/>
      <c r="CV751" s="68"/>
      <c r="CW751" s="68"/>
      <c r="CX751" s="68"/>
      <c r="CY751" s="68"/>
      <c r="CZ751" s="68"/>
      <c r="DA751" s="68"/>
      <c r="DB751" s="68"/>
      <c r="DC751" s="68"/>
    </row>
    <row r="752" spans="1:107" customFormat="1" ht="30" customHeight="1" x14ac:dyDescent="0.2">
      <c r="A752" s="54"/>
      <c r="B752" s="69" t="s">
        <v>49</v>
      </c>
      <c r="C752" s="52">
        <f>SUM(C753:C762)</f>
        <v>26250000</v>
      </c>
      <c r="D752" s="52">
        <f>SUM(D753:D762)</f>
        <v>13800000</v>
      </c>
      <c r="E752" s="530"/>
      <c r="F752" s="496"/>
      <c r="G752" s="126"/>
      <c r="H752" s="130"/>
      <c r="I752" s="130"/>
      <c r="J752" s="6"/>
      <c r="K752" s="68"/>
      <c r="L752" s="68"/>
      <c r="M752" s="68"/>
      <c r="N752" s="68"/>
      <c r="O752" s="68"/>
      <c r="P752" s="68"/>
      <c r="Q752" s="68"/>
      <c r="R752" s="68"/>
      <c r="S752" s="68"/>
      <c r="T752" s="68"/>
      <c r="U752" s="68"/>
      <c r="V752" s="68"/>
      <c r="W752" s="68"/>
      <c r="X752" s="68"/>
      <c r="Y752" s="68"/>
      <c r="Z752" s="68"/>
      <c r="AA752" s="68"/>
      <c r="AB752" s="68"/>
      <c r="AC752" s="68"/>
      <c r="AD752" s="68"/>
      <c r="AE752" s="68"/>
      <c r="AF752" s="68"/>
      <c r="AG752" s="68"/>
      <c r="AH752" s="68"/>
      <c r="AI752" s="68"/>
      <c r="AJ752" s="68"/>
      <c r="AK752" s="68"/>
      <c r="AL752" s="68"/>
      <c r="AM752" s="68"/>
      <c r="AN752" s="68"/>
      <c r="AO752" s="68"/>
      <c r="AP752" s="68"/>
      <c r="AQ752" s="68"/>
      <c r="AR752" s="68"/>
      <c r="AS752" s="68"/>
      <c r="AT752" s="68"/>
      <c r="AU752" s="68"/>
      <c r="AV752" s="68"/>
      <c r="AW752" s="68"/>
      <c r="AX752" s="68"/>
      <c r="AY752" s="68"/>
      <c r="AZ752" s="68"/>
      <c r="BA752" s="68"/>
      <c r="BB752" s="68"/>
      <c r="BC752" s="68"/>
      <c r="BD752" s="68"/>
      <c r="BE752" s="68"/>
      <c r="BF752" s="68"/>
      <c r="BG752" s="68"/>
      <c r="BH752" s="68"/>
      <c r="BI752" s="68"/>
      <c r="BJ752" s="68"/>
      <c r="BK752" s="68"/>
      <c r="BL752" s="68"/>
      <c r="BM752" s="68"/>
      <c r="BN752" s="68"/>
      <c r="BO752" s="68"/>
      <c r="BP752" s="68"/>
      <c r="BQ752" s="68"/>
      <c r="BR752" s="68"/>
      <c r="BS752" s="68"/>
      <c r="BT752" s="68"/>
      <c r="BU752" s="68"/>
      <c r="BV752" s="68"/>
      <c r="BW752" s="68"/>
      <c r="BX752" s="68"/>
      <c r="BY752" s="68"/>
      <c r="BZ752" s="68"/>
      <c r="CA752" s="68"/>
      <c r="CB752" s="68"/>
      <c r="CC752" s="68"/>
      <c r="CD752" s="68"/>
      <c r="CE752" s="68"/>
      <c r="CF752" s="68"/>
      <c r="CG752" s="68"/>
      <c r="CH752" s="68"/>
      <c r="CI752" s="68"/>
      <c r="CJ752" s="68"/>
      <c r="CK752" s="68"/>
      <c r="CL752" s="68"/>
      <c r="CM752" s="68"/>
      <c r="CN752" s="68"/>
      <c r="CO752" s="68"/>
      <c r="CP752" s="68"/>
      <c r="CQ752" s="68"/>
      <c r="CR752" s="68"/>
      <c r="CS752" s="68"/>
      <c r="CT752" s="68"/>
      <c r="CU752" s="68"/>
      <c r="CV752" s="68"/>
      <c r="CW752" s="68"/>
      <c r="CX752" s="68"/>
      <c r="CY752" s="68"/>
      <c r="CZ752" s="68"/>
      <c r="DA752" s="68"/>
      <c r="DB752" s="68"/>
      <c r="DC752" s="68"/>
    </row>
    <row r="753" spans="1:10" customFormat="1" ht="30" customHeight="1" x14ac:dyDescent="0.2">
      <c r="A753" s="54"/>
      <c r="B753" s="67" t="s">
        <v>48</v>
      </c>
      <c r="C753" s="10">
        <v>900000</v>
      </c>
      <c r="D753" s="10">
        <v>900000</v>
      </c>
      <c r="E753" s="530"/>
      <c r="F753" s="496"/>
      <c r="G753" s="126"/>
      <c r="H753" s="130"/>
      <c r="I753" s="130"/>
      <c r="J753" s="6"/>
    </row>
    <row r="754" spans="1:10" s="2" customFormat="1" ht="30" customHeight="1" x14ac:dyDescent="0.2">
      <c r="A754" s="54"/>
      <c r="B754" s="66" t="s">
        <v>47</v>
      </c>
      <c r="C754" s="64">
        <v>200000</v>
      </c>
      <c r="D754" s="64">
        <v>200000</v>
      </c>
      <c r="E754" s="530"/>
      <c r="F754" s="496"/>
      <c r="G754" s="126"/>
      <c r="H754" s="130"/>
      <c r="I754" s="130"/>
      <c r="J754" s="14"/>
    </row>
    <row r="755" spans="1:10" s="2" customFormat="1" ht="30" customHeight="1" x14ac:dyDescent="0.2">
      <c r="A755" s="54"/>
      <c r="B755" s="65" t="s">
        <v>46</v>
      </c>
      <c r="C755" s="64">
        <v>4750000</v>
      </c>
      <c r="D755" s="64">
        <v>1450000</v>
      </c>
      <c r="E755" s="530"/>
      <c r="F755" s="496"/>
      <c r="G755" s="126"/>
      <c r="H755" s="130"/>
      <c r="I755" s="130"/>
      <c r="J755" s="6"/>
    </row>
    <row r="756" spans="1:10" s="2" customFormat="1" ht="30" customHeight="1" x14ac:dyDescent="0.2">
      <c r="A756" s="54"/>
      <c r="B756" s="65" t="s">
        <v>45</v>
      </c>
      <c r="C756" s="52">
        <v>3300000</v>
      </c>
      <c r="D756" s="52">
        <f>3300000-3300000</f>
        <v>0</v>
      </c>
      <c r="E756" s="530"/>
      <c r="F756" s="496"/>
      <c r="G756" s="126"/>
      <c r="H756" s="130"/>
      <c r="I756" s="130"/>
      <c r="J756" s="14"/>
    </row>
    <row r="757" spans="1:10" s="2" customFormat="1" ht="30" customHeight="1" x14ac:dyDescent="0.2">
      <c r="A757" s="54"/>
      <c r="B757" s="65" t="s">
        <v>924</v>
      </c>
      <c r="C757" s="64">
        <v>3750000</v>
      </c>
      <c r="D757" s="64">
        <v>3750000</v>
      </c>
      <c r="E757" s="530"/>
      <c r="F757" s="496"/>
      <c r="G757" s="126"/>
      <c r="H757" s="130"/>
      <c r="I757" s="130"/>
      <c r="J757" s="6"/>
    </row>
    <row r="758" spans="1:10" s="2" customFormat="1" ht="30" customHeight="1" x14ac:dyDescent="0.2">
      <c r="A758" s="54"/>
      <c r="B758" s="65" t="s">
        <v>44</v>
      </c>
      <c r="C758" s="64">
        <v>2050000</v>
      </c>
      <c r="D758" s="64">
        <v>2050000</v>
      </c>
      <c r="E758" s="530"/>
      <c r="F758" s="496"/>
      <c r="G758" s="126"/>
      <c r="H758" s="130"/>
      <c r="I758" s="130"/>
      <c r="J758" s="14"/>
    </row>
    <row r="759" spans="1:10" s="2" customFormat="1" ht="30" customHeight="1" x14ac:dyDescent="0.2">
      <c r="A759" s="54"/>
      <c r="B759" s="65" t="s">
        <v>43</v>
      </c>
      <c r="C759" s="52">
        <v>2000000</v>
      </c>
      <c r="D759" s="52">
        <f>2000000-2000000</f>
        <v>0</v>
      </c>
      <c r="E759" s="530"/>
      <c r="F759" s="496"/>
      <c r="G759" s="126"/>
      <c r="H759" s="130"/>
      <c r="I759" s="130"/>
      <c r="J759" s="6"/>
    </row>
    <row r="760" spans="1:10" s="2" customFormat="1" ht="30" customHeight="1" x14ac:dyDescent="0.2">
      <c r="A760" s="54"/>
      <c r="B760" s="65" t="s">
        <v>42</v>
      </c>
      <c r="C760" s="52">
        <v>6000000</v>
      </c>
      <c r="D760" s="52">
        <f>6000000-2000000</f>
        <v>4000000</v>
      </c>
      <c r="E760" s="530"/>
      <c r="F760" s="496"/>
      <c r="G760" s="126"/>
      <c r="H760" s="130"/>
      <c r="I760" s="130"/>
      <c r="J760" s="14"/>
    </row>
    <row r="761" spans="1:10" s="2" customFormat="1" ht="30" customHeight="1" x14ac:dyDescent="0.2">
      <c r="A761" s="54"/>
      <c r="B761" s="65" t="s">
        <v>793</v>
      </c>
      <c r="C761" s="52">
        <v>2000000</v>
      </c>
      <c r="D761" s="52">
        <f>2000000-1250000</f>
        <v>750000</v>
      </c>
      <c r="E761" s="530"/>
      <c r="F761" s="496"/>
      <c r="G761" s="126"/>
      <c r="H761" s="130"/>
      <c r="I761" s="130"/>
      <c r="J761" s="6"/>
    </row>
    <row r="762" spans="1:10" s="2" customFormat="1" ht="30" customHeight="1" x14ac:dyDescent="0.2">
      <c r="A762" s="54"/>
      <c r="B762" s="65" t="s">
        <v>41</v>
      </c>
      <c r="C762" s="64">
        <v>1300000</v>
      </c>
      <c r="D762" s="64">
        <f>1300000-600000</f>
        <v>700000</v>
      </c>
      <c r="E762" s="530"/>
      <c r="F762" s="496"/>
      <c r="G762" s="126"/>
      <c r="H762" s="130"/>
      <c r="I762" s="130"/>
      <c r="J762" s="14"/>
    </row>
    <row r="763" spans="1:10" s="2" customFormat="1" ht="30" customHeight="1" x14ac:dyDescent="0.2">
      <c r="A763" s="59">
        <v>4351</v>
      </c>
      <c r="B763" s="58" t="s">
        <v>40</v>
      </c>
      <c r="C763" s="24">
        <v>10000</v>
      </c>
      <c r="D763" s="24">
        <v>10000</v>
      </c>
      <c r="E763" s="549"/>
      <c r="F763" s="549"/>
      <c r="G763" s="120"/>
      <c r="H763" s="130"/>
      <c r="I763" s="121"/>
      <c r="J763" s="6"/>
    </row>
    <row r="764" spans="1:10" s="2" customFormat="1" ht="30" customHeight="1" x14ac:dyDescent="0.2">
      <c r="A764" s="59">
        <v>4374</v>
      </c>
      <c r="B764" s="58" t="s">
        <v>39</v>
      </c>
      <c r="C764" s="63">
        <f>C765</f>
        <v>850000</v>
      </c>
      <c r="D764" s="63">
        <f>D765</f>
        <v>850000</v>
      </c>
      <c r="E764" s="549"/>
      <c r="F764" s="549"/>
      <c r="G764" s="120"/>
      <c r="H764" s="130"/>
      <c r="I764" s="121"/>
      <c r="J764" s="14"/>
    </row>
    <row r="765" spans="1:10" customFormat="1" ht="30" customHeight="1" x14ac:dyDescent="0.2">
      <c r="A765" s="54"/>
      <c r="B765" s="62" t="s">
        <v>38</v>
      </c>
      <c r="C765" s="52">
        <f>SUM(C766,C767)</f>
        <v>850000</v>
      </c>
      <c r="D765" s="52">
        <f>SUM(D766,D767)</f>
        <v>850000</v>
      </c>
      <c r="E765" s="530"/>
      <c r="F765" s="496"/>
      <c r="G765" s="126"/>
      <c r="H765" s="130"/>
      <c r="I765" s="130"/>
      <c r="J765" s="6"/>
    </row>
    <row r="766" spans="1:10" customFormat="1" ht="30" customHeight="1" x14ac:dyDescent="0.2">
      <c r="A766" s="55"/>
      <c r="B766" s="61" t="s">
        <v>37</v>
      </c>
      <c r="C766" s="10">
        <v>600000</v>
      </c>
      <c r="D766" s="10">
        <v>600000</v>
      </c>
      <c r="E766" s="530"/>
      <c r="F766" s="496"/>
      <c r="G766" s="126"/>
      <c r="H766" s="130"/>
      <c r="I766" s="130"/>
      <c r="J766" s="14"/>
    </row>
    <row r="767" spans="1:10" customFormat="1" ht="30" customHeight="1" x14ac:dyDescent="0.2">
      <c r="A767" s="55"/>
      <c r="B767" s="60" t="s">
        <v>36</v>
      </c>
      <c r="C767" s="10">
        <v>250000</v>
      </c>
      <c r="D767" s="10">
        <v>250000</v>
      </c>
      <c r="E767" s="530"/>
      <c r="F767" s="496"/>
      <c r="G767" s="126"/>
      <c r="H767" s="130"/>
      <c r="I767" s="130"/>
      <c r="J767" s="6"/>
    </row>
    <row r="768" spans="1:10" customFormat="1" ht="30" customHeight="1" x14ac:dyDescent="0.2">
      <c r="A768" s="59">
        <v>6171</v>
      </c>
      <c r="B768" s="58" t="s">
        <v>35</v>
      </c>
      <c r="C768" s="57">
        <f>SUM(C769:C772)</f>
        <v>2550000</v>
      </c>
      <c r="D768" s="57">
        <f>SUM(D769:D772)</f>
        <v>1100000</v>
      </c>
      <c r="E768" s="549"/>
      <c r="F768" s="549"/>
      <c r="G768" s="120"/>
      <c r="H768" s="121"/>
      <c r="I768" s="121"/>
      <c r="J768" s="14"/>
    </row>
    <row r="769" spans="1:246" customFormat="1" ht="30" customHeight="1" x14ac:dyDescent="0.2">
      <c r="A769" s="54"/>
      <c r="B769" s="56" t="s">
        <v>34</v>
      </c>
      <c r="C769" s="10">
        <v>50000</v>
      </c>
      <c r="D769" s="10">
        <v>50000</v>
      </c>
      <c r="E769" s="530"/>
      <c r="F769" s="496"/>
      <c r="G769" s="126"/>
      <c r="H769" s="130"/>
      <c r="I769" s="130"/>
      <c r="J769" s="6"/>
    </row>
    <row r="770" spans="1:246" customFormat="1" ht="30" customHeight="1" x14ac:dyDescent="0.2">
      <c r="A770" s="55"/>
      <c r="B770" s="53" t="s">
        <v>33</v>
      </c>
      <c r="C770" s="10">
        <v>2000000</v>
      </c>
      <c r="D770" s="10">
        <f>2000000-1450000</f>
        <v>550000</v>
      </c>
      <c r="E770" s="530"/>
      <c r="F770" s="496"/>
      <c r="G770" s="126"/>
      <c r="H770" s="130"/>
      <c r="I770" s="130"/>
      <c r="J770" s="6"/>
    </row>
    <row r="771" spans="1:246" customFormat="1" ht="30" customHeight="1" x14ac:dyDescent="0.2">
      <c r="A771" s="54"/>
      <c r="B771" s="53" t="s">
        <v>32</v>
      </c>
      <c r="C771" s="10">
        <v>300000</v>
      </c>
      <c r="D771" s="10">
        <v>300000</v>
      </c>
      <c r="E771" s="530"/>
      <c r="F771" s="496"/>
      <c r="G771" s="126"/>
      <c r="H771" s="130"/>
      <c r="I771" s="130"/>
      <c r="J771" s="14"/>
    </row>
    <row r="772" spans="1:246" customFormat="1" ht="30" customHeight="1" x14ac:dyDescent="0.2">
      <c r="A772" s="54"/>
      <c r="B772" s="69" t="s">
        <v>31</v>
      </c>
      <c r="C772" s="10">
        <v>200000</v>
      </c>
      <c r="D772" s="10">
        <v>200000</v>
      </c>
      <c r="E772" s="530"/>
      <c r="F772" s="518"/>
      <c r="G772" s="126"/>
      <c r="H772" s="130"/>
      <c r="I772" s="130"/>
      <c r="J772" s="6"/>
    </row>
    <row r="773" spans="1:246" customFormat="1" ht="30" customHeight="1" thickBot="1" x14ac:dyDescent="0.25">
      <c r="A773" s="51"/>
      <c r="B773" s="666"/>
      <c r="C773" s="50"/>
      <c r="D773" s="50"/>
      <c r="E773" s="667"/>
      <c r="F773" s="668"/>
      <c r="G773" s="151"/>
      <c r="H773" s="151"/>
      <c r="I773" s="151"/>
      <c r="J773" s="6"/>
    </row>
    <row r="774" spans="1:246" s="3" customFormat="1" ht="30" customHeight="1" thickBot="1" x14ac:dyDescent="0.35">
      <c r="A774" s="44"/>
      <c r="B774" s="49" t="s">
        <v>30</v>
      </c>
      <c r="C774" s="47">
        <f>SUM(C775+C779+C782)</f>
        <v>600000</v>
      </c>
      <c r="D774" s="47">
        <f>SUM(D775+D779+D782)</f>
        <v>600000</v>
      </c>
      <c r="E774" s="181"/>
      <c r="F774" s="181"/>
      <c r="G774" s="571"/>
      <c r="H774" s="181"/>
      <c r="I774" s="181"/>
      <c r="J774" s="14"/>
      <c r="K774" s="41"/>
      <c r="L774" s="41"/>
      <c r="M774" s="41"/>
      <c r="N774" s="41"/>
      <c r="O774" s="41"/>
      <c r="P774" s="41"/>
      <c r="Q774" s="41"/>
      <c r="R774" s="41"/>
      <c r="S774" s="41"/>
      <c r="T774" s="41"/>
      <c r="U774" s="41"/>
      <c r="V774" s="41"/>
      <c r="W774" s="41"/>
      <c r="X774" s="41"/>
      <c r="Y774" s="41"/>
      <c r="Z774" s="41"/>
      <c r="AA774" s="41"/>
      <c r="AB774" s="41"/>
      <c r="AC774" s="41"/>
      <c r="AD774" s="41"/>
      <c r="AE774" s="41"/>
      <c r="AF774" s="41"/>
      <c r="AG774" s="41"/>
      <c r="AH774" s="41"/>
      <c r="AI774" s="41"/>
      <c r="AJ774" s="41"/>
      <c r="AK774" s="41"/>
      <c r="AL774" s="41"/>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c r="CT774" s="41"/>
      <c r="CU774" s="41"/>
      <c r="CV774" s="41"/>
      <c r="CW774" s="41"/>
      <c r="CX774" s="41"/>
      <c r="CY774" s="41"/>
      <c r="CZ774" s="41"/>
      <c r="DA774" s="41"/>
      <c r="DB774" s="41"/>
      <c r="DC774" s="41"/>
      <c r="DD774" s="41"/>
      <c r="DE774" s="41"/>
      <c r="DF774" s="41"/>
      <c r="DG774" s="41"/>
      <c r="DH774" s="41"/>
      <c r="DI774" s="41"/>
      <c r="DJ774" s="41"/>
      <c r="DK774" s="41"/>
      <c r="DL774" s="41"/>
      <c r="DM774" s="41"/>
      <c r="DN774" s="41"/>
      <c r="DO774" s="41"/>
      <c r="DP774" s="41"/>
      <c r="DQ774" s="41"/>
      <c r="DR774" s="41"/>
      <c r="DS774" s="41"/>
      <c r="DT774" s="41"/>
      <c r="DU774" s="41"/>
      <c r="DV774" s="41"/>
      <c r="DW774" s="41"/>
      <c r="DX774" s="41"/>
      <c r="DY774" s="41"/>
      <c r="DZ774" s="41"/>
      <c r="EA774" s="41"/>
      <c r="EB774" s="41"/>
      <c r="EC774" s="41"/>
      <c r="ED774" s="41"/>
      <c r="EE774" s="41"/>
      <c r="EF774" s="41"/>
      <c r="EG774" s="41"/>
      <c r="EH774" s="41"/>
      <c r="EI774" s="41"/>
      <c r="EJ774" s="41"/>
      <c r="EK774" s="41"/>
      <c r="EL774" s="41"/>
      <c r="EM774" s="41"/>
      <c r="EN774" s="41"/>
      <c r="EO774" s="41"/>
      <c r="EP774" s="41"/>
      <c r="EQ774" s="41"/>
      <c r="ER774" s="41"/>
      <c r="ES774" s="41"/>
      <c r="ET774" s="41"/>
      <c r="EU774" s="41"/>
      <c r="EV774" s="41"/>
      <c r="EW774" s="41"/>
      <c r="EX774" s="41"/>
      <c r="EY774" s="41"/>
      <c r="EZ774" s="41"/>
      <c r="FA774" s="41"/>
      <c r="FB774" s="41"/>
      <c r="FC774" s="41"/>
      <c r="FD774" s="41"/>
      <c r="FE774" s="41"/>
      <c r="FF774" s="41"/>
      <c r="FG774" s="41"/>
      <c r="FH774" s="41"/>
      <c r="FI774" s="41"/>
      <c r="FJ774" s="41"/>
      <c r="FK774" s="41"/>
      <c r="FL774" s="41"/>
      <c r="FM774" s="41"/>
      <c r="FN774" s="41"/>
      <c r="FO774" s="41"/>
      <c r="FP774" s="41"/>
      <c r="FQ774" s="41"/>
      <c r="FR774" s="41"/>
      <c r="FS774" s="41"/>
      <c r="FT774" s="41"/>
      <c r="FU774" s="41"/>
      <c r="FV774" s="41"/>
      <c r="FW774" s="41"/>
      <c r="FX774" s="41"/>
      <c r="FY774" s="41"/>
      <c r="FZ774" s="41"/>
      <c r="GA774" s="41"/>
      <c r="GB774" s="41"/>
      <c r="GC774" s="41"/>
      <c r="GD774" s="41"/>
      <c r="GE774" s="41"/>
      <c r="GF774" s="41"/>
      <c r="GG774" s="41"/>
      <c r="GH774" s="41"/>
      <c r="GI774" s="41"/>
      <c r="GJ774" s="41"/>
      <c r="GK774" s="41"/>
      <c r="GL774" s="41"/>
      <c r="GM774" s="41"/>
      <c r="GN774" s="41"/>
      <c r="GO774" s="41"/>
      <c r="GP774" s="41"/>
      <c r="GQ774" s="41"/>
      <c r="GR774" s="41"/>
      <c r="GS774" s="41"/>
      <c r="GT774" s="41"/>
      <c r="GU774" s="41"/>
      <c r="GV774" s="41"/>
      <c r="GW774" s="41"/>
      <c r="GX774" s="41"/>
      <c r="GY774" s="41"/>
      <c r="GZ774" s="41"/>
      <c r="HA774" s="41"/>
      <c r="HB774" s="41"/>
      <c r="HC774" s="41"/>
      <c r="HD774" s="41"/>
      <c r="HE774" s="41"/>
      <c r="HF774" s="41"/>
      <c r="HG774" s="41"/>
      <c r="HH774" s="41"/>
      <c r="HI774" s="41"/>
      <c r="HJ774" s="41"/>
      <c r="HK774" s="41"/>
      <c r="HL774" s="41"/>
      <c r="HM774" s="41"/>
      <c r="HN774" s="41"/>
      <c r="HO774" s="41"/>
      <c r="HP774" s="41"/>
      <c r="HQ774" s="41"/>
      <c r="HR774" s="41"/>
      <c r="HS774" s="41"/>
      <c r="HT774" s="41"/>
      <c r="HU774" s="41"/>
      <c r="HV774" s="41"/>
      <c r="HW774" s="41"/>
      <c r="HX774" s="41"/>
      <c r="HY774" s="41"/>
      <c r="HZ774" s="41"/>
      <c r="IA774" s="41"/>
      <c r="IB774" s="41"/>
      <c r="IC774" s="41"/>
      <c r="ID774" s="41"/>
      <c r="IE774" s="41"/>
      <c r="IF774" s="41"/>
      <c r="IG774" s="41"/>
      <c r="IH774" s="41"/>
      <c r="II774" s="41"/>
      <c r="IJ774" s="41"/>
      <c r="IK774" s="41"/>
      <c r="IL774" s="41"/>
    </row>
    <row r="775" spans="1:246" s="3" customFormat="1" ht="30" customHeight="1" x14ac:dyDescent="0.2">
      <c r="A775" s="30">
        <v>2169</v>
      </c>
      <c r="B775" s="29" t="s">
        <v>29</v>
      </c>
      <c r="C775" s="24">
        <v>250000</v>
      </c>
      <c r="D775" s="24">
        <v>250000</v>
      </c>
      <c r="E775" s="556"/>
      <c r="F775" s="556"/>
      <c r="G775" s="120"/>
      <c r="H775" s="121"/>
      <c r="I775" s="121"/>
      <c r="J775" s="6"/>
      <c r="K775" s="41"/>
      <c r="L775" s="41"/>
      <c r="M775" s="41"/>
      <c r="N775" s="41"/>
      <c r="O775" s="41"/>
      <c r="P775" s="41"/>
      <c r="Q775" s="41"/>
      <c r="R775" s="41"/>
      <c r="S775" s="41"/>
      <c r="T775" s="41"/>
      <c r="U775" s="41"/>
      <c r="V775" s="41"/>
      <c r="W775" s="41"/>
      <c r="X775" s="41"/>
      <c r="Y775" s="41"/>
      <c r="Z775" s="41"/>
      <c r="AA775" s="41"/>
      <c r="AB775" s="41"/>
      <c r="AC775" s="41"/>
      <c r="AD775" s="41"/>
      <c r="AE775" s="41"/>
      <c r="AF775" s="41"/>
      <c r="AG775" s="41"/>
      <c r="AH775" s="41"/>
      <c r="AI775" s="41"/>
      <c r="AJ775" s="41"/>
      <c r="AK775" s="41"/>
      <c r="AL775" s="41"/>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c r="CT775" s="41"/>
      <c r="CU775" s="41"/>
      <c r="CV775" s="41"/>
      <c r="CW775" s="41"/>
      <c r="CX775" s="41"/>
      <c r="CY775" s="41"/>
      <c r="CZ775" s="41"/>
      <c r="DA775" s="41"/>
      <c r="DB775" s="41"/>
      <c r="DC775" s="41"/>
      <c r="DD775" s="41"/>
      <c r="DE775" s="41"/>
      <c r="DF775" s="41"/>
      <c r="DG775" s="41"/>
      <c r="DH775" s="41"/>
      <c r="DI775" s="41"/>
      <c r="DJ775" s="41"/>
      <c r="DK775" s="41"/>
      <c r="DL775" s="41"/>
      <c r="DM775" s="41"/>
      <c r="DN775" s="41"/>
      <c r="DO775" s="41"/>
      <c r="DP775" s="41"/>
      <c r="DQ775" s="41"/>
      <c r="DR775" s="41"/>
      <c r="DS775" s="41"/>
      <c r="DT775" s="41"/>
      <c r="DU775" s="41"/>
      <c r="DV775" s="41"/>
      <c r="DW775" s="41"/>
      <c r="DX775" s="41"/>
      <c r="DY775" s="41"/>
      <c r="DZ775" s="41"/>
      <c r="EA775" s="41"/>
      <c r="EB775" s="41"/>
      <c r="EC775" s="41"/>
      <c r="ED775" s="41"/>
      <c r="EE775" s="41"/>
      <c r="EF775" s="41"/>
      <c r="EG775" s="41"/>
      <c r="EH775" s="41"/>
      <c r="EI775" s="41"/>
      <c r="EJ775" s="41"/>
      <c r="EK775" s="41"/>
      <c r="EL775" s="41"/>
      <c r="EM775" s="41"/>
      <c r="EN775" s="41"/>
      <c r="EO775" s="41"/>
      <c r="EP775" s="41"/>
      <c r="EQ775" s="41"/>
      <c r="ER775" s="41"/>
      <c r="ES775" s="41"/>
      <c r="ET775" s="41"/>
      <c r="EU775" s="41"/>
      <c r="EV775" s="41"/>
      <c r="EW775" s="41"/>
      <c r="EX775" s="41"/>
      <c r="EY775" s="41"/>
      <c r="EZ775" s="41"/>
      <c r="FA775" s="41"/>
      <c r="FB775" s="41"/>
      <c r="FC775" s="41"/>
      <c r="FD775" s="41"/>
      <c r="FE775" s="41"/>
      <c r="FF775" s="41"/>
      <c r="FG775" s="41"/>
      <c r="FH775" s="41"/>
      <c r="FI775" s="41"/>
      <c r="FJ775" s="41"/>
      <c r="FK775" s="41"/>
      <c r="FL775" s="41"/>
      <c r="FM775" s="41"/>
      <c r="FN775" s="41"/>
      <c r="FO775" s="41"/>
      <c r="FP775" s="41"/>
      <c r="FQ775" s="41"/>
      <c r="FR775" s="41"/>
      <c r="FS775" s="41"/>
      <c r="FT775" s="41"/>
      <c r="FU775" s="41"/>
      <c r="FV775" s="41"/>
      <c r="FW775" s="41"/>
      <c r="FX775" s="41"/>
      <c r="FY775" s="41"/>
      <c r="FZ775" s="41"/>
      <c r="GA775" s="41"/>
      <c r="GB775" s="41"/>
      <c r="GC775" s="41"/>
      <c r="GD775" s="41"/>
      <c r="GE775" s="41"/>
      <c r="GF775" s="41"/>
      <c r="GG775" s="41"/>
      <c r="GH775" s="41"/>
      <c r="GI775" s="41"/>
      <c r="GJ775" s="41"/>
      <c r="GK775" s="41"/>
      <c r="GL775" s="41"/>
      <c r="GM775" s="41"/>
      <c r="GN775" s="41"/>
      <c r="GO775" s="41"/>
      <c r="GP775" s="41"/>
      <c r="GQ775" s="41"/>
      <c r="GR775" s="41"/>
      <c r="GS775" s="41"/>
      <c r="GT775" s="41"/>
      <c r="GU775" s="41"/>
      <c r="GV775" s="41"/>
      <c r="GW775" s="41"/>
      <c r="GX775" s="41"/>
      <c r="GY775" s="41"/>
      <c r="GZ775" s="41"/>
      <c r="HA775" s="41"/>
      <c r="HB775" s="41"/>
      <c r="HC775" s="41"/>
      <c r="HD775" s="41"/>
      <c r="HE775" s="41"/>
      <c r="HF775" s="41"/>
      <c r="HG775" s="41"/>
      <c r="HH775" s="41"/>
      <c r="HI775" s="41"/>
      <c r="HJ775" s="41"/>
      <c r="HK775" s="41"/>
      <c r="HL775" s="41"/>
      <c r="HM775" s="41"/>
      <c r="HN775" s="41"/>
      <c r="HO775" s="41"/>
      <c r="HP775" s="41"/>
      <c r="HQ775" s="41"/>
      <c r="HR775" s="41"/>
      <c r="HS775" s="41"/>
      <c r="HT775" s="41"/>
      <c r="HU775" s="41"/>
      <c r="HV775" s="41"/>
      <c r="HW775" s="41"/>
      <c r="HX775" s="41"/>
      <c r="HY775" s="41"/>
      <c r="HZ775" s="41"/>
      <c r="IA775" s="41"/>
      <c r="IB775" s="41"/>
      <c r="IC775" s="41"/>
      <c r="ID775" s="41"/>
      <c r="IE775" s="41"/>
      <c r="IF775" s="41"/>
      <c r="IG775" s="41"/>
      <c r="IH775" s="41"/>
      <c r="II775" s="41"/>
      <c r="IJ775" s="41"/>
      <c r="IK775" s="41"/>
      <c r="IL775" s="41"/>
    </row>
    <row r="776" spans="1:246" s="3" customFormat="1" ht="30" customHeight="1" x14ac:dyDescent="0.2">
      <c r="A776" s="30"/>
      <c r="B776" s="28" t="s">
        <v>28</v>
      </c>
      <c r="C776" s="9">
        <v>47000</v>
      </c>
      <c r="D776" s="9">
        <v>47000</v>
      </c>
      <c r="E776" s="530"/>
      <c r="F776" s="496"/>
      <c r="G776" s="126"/>
      <c r="H776" s="130"/>
      <c r="I776" s="130"/>
      <c r="J776" s="14"/>
      <c r="K776" s="41"/>
      <c r="L776" s="41"/>
      <c r="M776" s="41"/>
      <c r="N776" s="41"/>
      <c r="O776" s="41"/>
      <c r="P776" s="41"/>
      <c r="Q776" s="41"/>
      <c r="R776" s="41"/>
      <c r="S776" s="41"/>
      <c r="T776" s="41"/>
      <c r="U776" s="41"/>
      <c r="V776" s="41"/>
      <c r="W776" s="41"/>
      <c r="X776" s="41"/>
      <c r="Y776" s="41"/>
      <c r="Z776" s="41"/>
      <c r="AA776" s="41"/>
      <c r="AB776" s="41"/>
      <c r="AC776" s="41"/>
      <c r="AD776" s="41"/>
      <c r="AE776" s="41"/>
      <c r="AF776" s="41"/>
      <c r="AG776" s="41"/>
      <c r="AH776" s="41"/>
      <c r="AI776" s="41"/>
      <c r="AJ776" s="41"/>
      <c r="AK776" s="41"/>
      <c r="AL776" s="41"/>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c r="CT776" s="41"/>
      <c r="CU776" s="41"/>
      <c r="CV776" s="41"/>
      <c r="CW776" s="41"/>
      <c r="CX776" s="41"/>
      <c r="CY776" s="41"/>
      <c r="CZ776" s="41"/>
      <c r="DA776" s="41"/>
      <c r="DB776" s="41"/>
      <c r="DC776" s="41"/>
      <c r="DD776" s="41"/>
      <c r="DE776" s="41"/>
      <c r="DF776" s="41"/>
      <c r="DG776" s="41"/>
      <c r="DH776" s="41"/>
      <c r="DI776" s="41"/>
      <c r="DJ776" s="41"/>
      <c r="DK776" s="41"/>
      <c r="DL776" s="41"/>
      <c r="DM776" s="41"/>
      <c r="DN776" s="41"/>
      <c r="DO776" s="41"/>
      <c r="DP776" s="41"/>
      <c r="DQ776" s="41"/>
      <c r="DR776" s="41"/>
      <c r="DS776" s="41"/>
      <c r="DT776" s="41"/>
      <c r="DU776" s="41"/>
      <c r="DV776" s="41"/>
      <c r="DW776" s="41"/>
      <c r="DX776" s="41"/>
      <c r="DY776" s="41"/>
      <c r="DZ776" s="41"/>
      <c r="EA776" s="41"/>
      <c r="EB776" s="41"/>
      <c r="EC776" s="41"/>
      <c r="ED776" s="41"/>
      <c r="EE776" s="41"/>
      <c r="EF776" s="41"/>
      <c r="EG776" s="41"/>
      <c r="EH776" s="41"/>
      <c r="EI776" s="41"/>
      <c r="EJ776" s="41"/>
      <c r="EK776" s="41"/>
      <c r="EL776" s="41"/>
      <c r="EM776" s="41"/>
      <c r="EN776" s="41"/>
      <c r="EO776" s="41"/>
      <c r="EP776" s="41"/>
      <c r="EQ776" s="41"/>
      <c r="ER776" s="41"/>
      <c r="ES776" s="41"/>
      <c r="ET776" s="41"/>
      <c r="EU776" s="41"/>
      <c r="EV776" s="41"/>
      <c r="EW776" s="41"/>
      <c r="EX776" s="41"/>
      <c r="EY776" s="41"/>
      <c r="EZ776" s="41"/>
      <c r="FA776" s="41"/>
      <c r="FB776" s="41"/>
      <c r="FC776" s="41"/>
      <c r="FD776" s="41"/>
      <c r="FE776" s="41"/>
      <c r="FF776" s="41"/>
      <c r="FG776" s="41"/>
      <c r="FH776" s="41"/>
      <c r="FI776" s="41"/>
      <c r="FJ776" s="41"/>
      <c r="FK776" s="41"/>
      <c r="FL776" s="41"/>
      <c r="FM776" s="41"/>
      <c r="FN776" s="41"/>
      <c r="FO776" s="41"/>
      <c r="FP776" s="41"/>
      <c r="FQ776" s="41"/>
      <c r="FR776" s="41"/>
      <c r="FS776" s="41"/>
      <c r="FT776" s="41"/>
      <c r="FU776" s="41"/>
      <c r="FV776" s="41"/>
      <c r="FW776" s="41"/>
      <c r="FX776" s="41"/>
      <c r="FY776" s="41"/>
      <c r="FZ776" s="41"/>
      <c r="GA776" s="41"/>
      <c r="GB776" s="41"/>
      <c r="GC776" s="41"/>
      <c r="GD776" s="41"/>
      <c r="GE776" s="41"/>
      <c r="GF776" s="41"/>
      <c r="GG776" s="41"/>
      <c r="GH776" s="41"/>
      <c r="GI776" s="41"/>
      <c r="GJ776" s="41"/>
      <c r="GK776" s="41"/>
      <c r="GL776" s="41"/>
      <c r="GM776" s="41"/>
      <c r="GN776" s="41"/>
      <c r="GO776" s="41"/>
      <c r="GP776" s="41"/>
      <c r="GQ776" s="41"/>
      <c r="GR776" s="41"/>
      <c r="GS776" s="41"/>
      <c r="GT776" s="41"/>
      <c r="GU776" s="41"/>
      <c r="GV776" s="41"/>
      <c r="GW776" s="41"/>
      <c r="GX776" s="41"/>
      <c r="GY776" s="41"/>
      <c r="GZ776" s="41"/>
      <c r="HA776" s="41"/>
      <c r="HB776" s="41"/>
      <c r="HC776" s="41"/>
      <c r="HD776" s="41"/>
      <c r="HE776" s="41"/>
      <c r="HF776" s="41"/>
      <c r="HG776" s="41"/>
      <c r="HH776" s="41"/>
      <c r="HI776" s="41"/>
      <c r="HJ776" s="41"/>
      <c r="HK776" s="41"/>
      <c r="HL776" s="41"/>
      <c r="HM776" s="41"/>
      <c r="HN776" s="41"/>
      <c r="HO776" s="41"/>
      <c r="HP776" s="41"/>
      <c r="HQ776" s="41"/>
      <c r="HR776" s="41"/>
      <c r="HS776" s="41"/>
      <c r="HT776" s="41"/>
      <c r="HU776" s="41"/>
      <c r="HV776" s="41"/>
      <c r="HW776" s="41"/>
      <c r="HX776" s="41"/>
      <c r="HY776" s="41"/>
      <c r="HZ776" s="41"/>
      <c r="IA776" s="41"/>
      <c r="IB776" s="41"/>
      <c r="IC776" s="41"/>
      <c r="ID776" s="41"/>
      <c r="IE776" s="41"/>
      <c r="IF776" s="41"/>
      <c r="IG776" s="41"/>
      <c r="IH776" s="41"/>
      <c r="II776" s="41"/>
      <c r="IJ776" s="41"/>
      <c r="IK776" s="41"/>
      <c r="IL776" s="41"/>
    </row>
    <row r="777" spans="1:246" s="3" customFormat="1" ht="30" customHeight="1" x14ac:dyDescent="0.2">
      <c r="A777" s="30"/>
      <c r="B777" s="28" t="s">
        <v>27</v>
      </c>
      <c r="C777" s="9">
        <v>200000</v>
      </c>
      <c r="D777" s="9">
        <v>200000</v>
      </c>
      <c r="E777" s="530"/>
      <c r="F777" s="496"/>
      <c r="G777" s="126"/>
      <c r="H777" s="130"/>
      <c r="I777" s="130"/>
      <c r="J777" s="6"/>
      <c r="K777" s="41"/>
      <c r="L777" s="41"/>
      <c r="M777" s="41"/>
      <c r="N777" s="41"/>
      <c r="O777" s="41"/>
      <c r="P777" s="41"/>
      <c r="Q777" s="41"/>
      <c r="R777" s="41"/>
      <c r="S777" s="41"/>
      <c r="T777" s="41"/>
      <c r="U777" s="41"/>
      <c r="V777" s="41"/>
      <c r="W777" s="41"/>
      <c r="X777" s="41"/>
      <c r="Y777" s="41"/>
      <c r="Z777" s="41"/>
      <c r="AA777" s="41"/>
      <c r="AB777" s="41"/>
      <c r="AC777" s="41"/>
      <c r="AD777" s="41"/>
      <c r="AE777" s="41"/>
      <c r="AF777" s="41"/>
      <c r="AG777" s="41"/>
      <c r="AH777" s="41"/>
      <c r="AI777" s="41"/>
      <c r="AJ777" s="41"/>
      <c r="AK777" s="41"/>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c r="CT777" s="41"/>
      <c r="CU777" s="41"/>
      <c r="CV777" s="41"/>
      <c r="CW777" s="41"/>
      <c r="CX777" s="41"/>
      <c r="CY777" s="41"/>
      <c r="CZ777" s="41"/>
      <c r="DA777" s="41"/>
      <c r="DB777" s="41"/>
      <c r="DC777" s="41"/>
      <c r="DD777" s="41"/>
      <c r="DE777" s="41"/>
      <c r="DF777" s="41"/>
      <c r="DG777" s="41"/>
      <c r="DH777" s="41"/>
      <c r="DI777" s="41"/>
      <c r="DJ777" s="41"/>
      <c r="DK777" s="41"/>
      <c r="DL777" s="41"/>
      <c r="DM777" s="41"/>
      <c r="DN777" s="41"/>
      <c r="DO777" s="41"/>
      <c r="DP777" s="41"/>
      <c r="DQ777" s="41"/>
      <c r="DR777" s="41"/>
      <c r="DS777" s="41"/>
      <c r="DT777" s="41"/>
      <c r="DU777" s="41"/>
      <c r="DV777" s="41"/>
      <c r="DW777" s="41"/>
      <c r="DX777" s="41"/>
      <c r="DY777" s="41"/>
      <c r="DZ777" s="41"/>
      <c r="EA777" s="41"/>
      <c r="EB777" s="41"/>
      <c r="EC777" s="41"/>
      <c r="ED777" s="41"/>
      <c r="EE777" s="41"/>
      <c r="EF777" s="41"/>
      <c r="EG777" s="41"/>
      <c r="EH777" s="41"/>
      <c r="EI777" s="41"/>
      <c r="EJ777" s="41"/>
      <c r="EK777" s="41"/>
      <c r="EL777" s="41"/>
      <c r="EM777" s="41"/>
      <c r="EN777" s="41"/>
      <c r="EO777" s="41"/>
      <c r="EP777" s="41"/>
      <c r="EQ777" s="41"/>
      <c r="ER777" s="41"/>
      <c r="ES777" s="41"/>
      <c r="ET777" s="41"/>
      <c r="EU777" s="41"/>
      <c r="EV777" s="41"/>
      <c r="EW777" s="41"/>
      <c r="EX777" s="41"/>
      <c r="EY777" s="41"/>
      <c r="EZ777" s="41"/>
      <c r="FA777" s="41"/>
      <c r="FB777" s="41"/>
      <c r="FC777" s="41"/>
      <c r="FD777" s="41"/>
      <c r="FE777" s="41"/>
      <c r="FF777" s="41"/>
      <c r="FG777" s="41"/>
      <c r="FH777" s="41"/>
      <c r="FI777" s="41"/>
      <c r="FJ777" s="41"/>
      <c r="FK777" s="41"/>
      <c r="FL777" s="41"/>
      <c r="FM777" s="41"/>
      <c r="FN777" s="41"/>
      <c r="FO777" s="41"/>
      <c r="FP777" s="41"/>
      <c r="FQ777" s="41"/>
      <c r="FR777" s="41"/>
      <c r="FS777" s="41"/>
      <c r="FT777" s="41"/>
      <c r="FU777" s="41"/>
      <c r="FV777" s="41"/>
      <c r="FW777" s="41"/>
      <c r="FX777" s="41"/>
      <c r="FY777" s="41"/>
      <c r="FZ777" s="41"/>
      <c r="GA777" s="41"/>
      <c r="GB777" s="41"/>
      <c r="GC777" s="41"/>
      <c r="GD777" s="41"/>
      <c r="GE777" s="41"/>
      <c r="GF777" s="41"/>
      <c r="GG777" s="41"/>
      <c r="GH777" s="41"/>
      <c r="GI777" s="41"/>
      <c r="GJ777" s="41"/>
      <c r="GK777" s="41"/>
      <c r="GL777" s="41"/>
      <c r="GM777" s="41"/>
      <c r="GN777" s="41"/>
      <c r="GO777" s="41"/>
      <c r="GP777" s="41"/>
      <c r="GQ777" s="41"/>
      <c r="GR777" s="41"/>
      <c r="GS777" s="41"/>
      <c r="GT777" s="41"/>
      <c r="GU777" s="41"/>
      <c r="GV777" s="41"/>
      <c r="GW777" s="41"/>
      <c r="GX777" s="41"/>
      <c r="GY777" s="41"/>
      <c r="GZ777" s="41"/>
      <c r="HA777" s="41"/>
      <c r="HB777" s="41"/>
      <c r="HC777" s="41"/>
      <c r="HD777" s="41"/>
      <c r="HE777" s="41"/>
      <c r="HF777" s="41"/>
      <c r="HG777" s="41"/>
      <c r="HH777" s="41"/>
      <c r="HI777" s="41"/>
      <c r="HJ777" s="41"/>
      <c r="HK777" s="41"/>
      <c r="HL777" s="41"/>
      <c r="HM777" s="41"/>
      <c r="HN777" s="41"/>
      <c r="HO777" s="41"/>
      <c r="HP777" s="41"/>
      <c r="HQ777" s="41"/>
      <c r="HR777" s="41"/>
      <c r="HS777" s="41"/>
      <c r="HT777" s="41"/>
      <c r="HU777" s="41"/>
      <c r="HV777" s="41"/>
      <c r="HW777" s="41"/>
      <c r="HX777" s="41"/>
      <c r="HY777" s="41"/>
      <c r="HZ777" s="41"/>
      <c r="IA777" s="41"/>
      <c r="IB777" s="41"/>
      <c r="IC777" s="41"/>
      <c r="ID777" s="41"/>
      <c r="IE777" s="41"/>
      <c r="IF777" s="41"/>
      <c r="IG777" s="41"/>
      <c r="IH777" s="41"/>
      <c r="II777" s="41"/>
      <c r="IJ777" s="41"/>
      <c r="IK777" s="41"/>
      <c r="IL777" s="41"/>
    </row>
    <row r="778" spans="1:246" s="3" customFormat="1" ht="30" customHeight="1" x14ac:dyDescent="0.2">
      <c r="A778" s="30"/>
      <c r="B778" s="28" t="s">
        <v>26</v>
      </c>
      <c r="C778" s="9">
        <v>3000</v>
      </c>
      <c r="D778" s="9">
        <v>3000</v>
      </c>
      <c r="E778" s="530"/>
      <c r="F778" s="496"/>
      <c r="G778" s="126"/>
      <c r="H778" s="130"/>
      <c r="I778" s="130"/>
      <c r="J778" s="14"/>
      <c r="K778" s="41"/>
      <c r="L778" s="41"/>
      <c r="M778" s="41"/>
      <c r="N778" s="41"/>
      <c r="O778" s="41"/>
      <c r="P778" s="41"/>
      <c r="Q778" s="41"/>
      <c r="R778" s="41"/>
      <c r="S778" s="41"/>
      <c r="T778" s="41"/>
      <c r="U778" s="41"/>
      <c r="V778" s="41"/>
      <c r="W778" s="41"/>
      <c r="X778" s="41"/>
      <c r="Y778" s="41"/>
      <c r="Z778" s="41"/>
      <c r="AA778" s="41"/>
      <c r="AB778" s="41"/>
      <c r="AC778" s="41"/>
      <c r="AD778" s="41"/>
      <c r="AE778" s="41"/>
      <c r="AF778" s="41"/>
      <c r="AG778" s="41"/>
      <c r="AH778" s="41"/>
      <c r="AI778" s="41"/>
      <c r="AJ778" s="41"/>
      <c r="AK778" s="41"/>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c r="CT778" s="41"/>
      <c r="CU778" s="41"/>
      <c r="CV778" s="41"/>
      <c r="CW778" s="41"/>
      <c r="CX778" s="41"/>
      <c r="CY778" s="41"/>
      <c r="CZ778" s="41"/>
      <c r="DA778" s="41"/>
      <c r="DB778" s="41"/>
      <c r="DC778" s="41"/>
      <c r="DD778" s="41"/>
      <c r="DE778" s="41"/>
      <c r="DF778" s="41"/>
      <c r="DG778" s="41"/>
      <c r="DH778" s="41"/>
      <c r="DI778" s="41"/>
      <c r="DJ778" s="41"/>
      <c r="DK778" s="41"/>
      <c r="DL778" s="41"/>
      <c r="DM778" s="41"/>
      <c r="DN778" s="41"/>
      <c r="DO778" s="41"/>
      <c r="DP778" s="41"/>
      <c r="DQ778" s="41"/>
      <c r="DR778" s="41"/>
      <c r="DS778" s="41"/>
      <c r="DT778" s="41"/>
      <c r="DU778" s="41"/>
      <c r="DV778" s="41"/>
      <c r="DW778" s="41"/>
      <c r="DX778" s="41"/>
      <c r="DY778" s="41"/>
      <c r="DZ778" s="41"/>
      <c r="EA778" s="41"/>
      <c r="EB778" s="41"/>
      <c r="EC778" s="41"/>
      <c r="ED778" s="41"/>
      <c r="EE778" s="41"/>
      <c r="EF778" s="41"/>
      <c r="EG778" s="41"/>
      <c r="EH778" s="41"/>
      <c r="EI778" s="41"/>
      <c r="EJ778" s="41"/>
      <c r="EK778" s="41"/>
      <c r="EL778" s="41"/>
      <c r="EM778" s="41"/>
      <c r="EN778" s="41"/>
      <c r="EO778" s="41"/>
      <c r="EP778" s="41"/>
      <c r="EQ778" s="41"/>
      <c r="ER778" s="41"/>
      <c r="ES778" s="41"/>
      <c r="ET778" s="41"/>
      <c r="EU778" s="41"/>
      <c r="EV778" s="41"/>
      <c r="EW778" s="41"/>
      <c r="EX778" s="41"/>
      <c r="EY778" s="41"/>
      <c r="EZ778" s="41"/>
      <c r="FA778" s="41"/>
      <c r="FB778" s="41"/>
      <c r="FC778" s="41"/>
      <c r="FD778" s="41"/>
      <c r="FE778" s="41"/>
      <c r="FF778" s="41"/>
      <c r="FG778" s="41"/>
      <c r="FH778" s="41"/>
      <c r="FI778" s="41"/>
      <c r="FJ778" s="41"/>
      <c r="FK778" s="41"/>
      <c r="FL778" s="41"/>
      <c r="FM778" s="41"/>
      <c r="FN778" s="41"/>
      <c r="FO778" s="41"/>
      <c r="FP778" s="41"/>
      <c r="FQ778" s="41"/>
      <c r="FR778" s="41"/>
      <c r="FS778" s="41"/>
      <c r="FT778" s="41"/>
      <c r="FU778" s="41"/>
      <c r="FV778" s="41"/>
      <c r="FW778" s="41"/>
      <c r="FX778" s="41"/>
      <c r="FY778" s="41"/>
      <c r="FZ778" s="41"/>
      <c r="GA778" s="41"/>
      <c r="GB778" s="41"/>
      <c r="GC778" s="41"/>
      <c r="GD778" s="41"/>
      <c r="GE778" s="41"/>
      <c r="GF778" s="41"/>
      <c r="GG778" s="41"/>
      <c r="GH778" s="41"/>
      <c r="GI778" s="41"/>
      <c r="GJ778" s="41"/>
      <c r="GK778" s="41"/>
      <c r="GL778" s="41"/>
      <c r="GM778" s="41"/>
      <c r="GN778" s="41"/>
      <c r="GO778" s="41"/>
      <c r="GP778" s="41"/>
      <c r="GQ778" s="41"/>
      <c r="GR778" s="41"/>
      <c r="GS778" s="41"/>
      <c r="GT778" s="41"/>
      <c r="GU778" s="41"/>
      <c r="GV778" s="41"/>
      <c r="GW778" s="41"/>
      <c r="GX778" s="41"/>
      <c r="GY778" s="41"/>
      <c r="GZ778" s="41"/>
      <c r="HA778" s="41"/>
      <c r="HB778" s="41"/>
      <c r="HC778" s="41"/>
      <c r="HD778" s="41"/>
      <c r="HE778" s="41"/>
      <c r="HF778" s="41"/>
      <c r="HG778" s="41"/>
      <c r="HH778" s="41"/>
      <c r="HI778" s="41"/>
      <c r="HJ778" s="41"/>
      <c r="HK778" s="41"/>
      <c r="HL778" s="41"/>
      <c r="HM778" s="41"/>
      <c r="HN778" s="41"/>
      <c r="HO778" s="41"/>
      <c r="HP778" s="41"/>
      <c r="HQ778" s="41"/>
      <c r="HR778" s="41"/>
      <c r="HS778" s="41"/>
      <c r="HT778" s="41"/>
      <c r="HU778" s="41"/>
      <c r="HV778" s="41"/>
      <c r="HW778" s="41"/>
      <c r="HX778" s="41"/>
      <c r="HY778" s="41"/>
      <c r="HZ778" s="41"/>
      <c r="IA778" s="41"/>
      <c r="IB778" s="41"/>
      <c r="IC778" s="41"/>
      <c r="ID778" s="41"/>
      <c r="IE778" s="41"/>
      <c r="IF778" s="41"/>
      <c r="IG778" s="41"/>
      <c r="IH778" s="41"/>
      <c r="II778" s="41"/>
      <c r="IJ778" s="41"/>
      <c r="IK778" s="41"/>
      <c r="IL778" s="41"/>
    </row>
    <row r="779" spans="1:246" s="3" customFormat="1" ht="30" customHeight="1" x14ac:dyDescent="0.2">
      <c r="A779" s="20">
        <v>3635</v>
      </c>
      <c r="B779" s="19" t="s">
        <v>25</v>
      </c>
      <c r="C779" s="18">
        <f>SUM(C780+C781)</f>
        <v>350000</v>
      </c>
      <c r="D779" s="18">
        <f>SUM(D780+D781)</f>
        <v>350000</v>
      </c>
      <c r="E779" s="549"/>
      <c r="F779" s="549"/>
      <c r="G779" s="120"/>
      <c r="H779" s="121"/>
      <c r="I779" s="121"/>
      <c r="J779" s="14"/>
      <c r="K779" s="41"/>
      <c r="L779" s="41"/>
      <c r="M779" s="41"/>
      <c r="N779" s="41"/>
      <c r="O779" s="41"/>
      <c r="P779" s="41"/>
      <c r="Q779" s="41"/>
      <c r="R779" s="41"/>
      <c r="S779" s="41"/>
      <c r="T779" s="41"/>
      <c r="U779" s="41"/>
      <c r="V779" s="41"/>
      <c r="W779" s="41"/>
      <c r="X779" s="41"/>
      <c r="Y779" s="41"/>
      <c r="Z779" s="41"/>
      <c r="AA779" s="41"/>
      <c r="AB779" s="41"/>
      <c r="AC779" s="41"/>
      <c r="AD779" s="41"/>
      <c r="AE779" s="41"/>
      <c r="AF779" s="41"/>
      <c r="AG779" s="41"/>
      <c r="AH779" s="41"/>
      <c r="AI779" s="41"/>
      <c r="AJ779" s="41"/>
      <c r="AK779" s="41"/>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c r="CT779" s="41"/>
      <c r="CU779" s="41"/>
      <c r="CV779" s="41"/>
      <c r="CW779" s="41"/>
      <c r="CX779" s="41"/>
      <c r="CY779" s="41"/>
      <c r="CZ779" s="41"/>
      <c r="DA779" s="41"/>
      <c r="DB779" s="41"/>
      <c r="DC779" s="41"/>
      <c r="DD779" s="41"/>
      <c r="DE779" s="41"/>
      <c r="DF779" s="41"/>
      <c r="DG779" s="41"/>
      <c r="DH779" s="41"/>
      <c r="DI779" s="41"/>
      <c r="DJ779" s="41"/>
      <c r="DK779" s="41"/>
      <c r="DL779" s="41"/>
      <c r="DM779" s="41"/>
      <c r="DN779" s="41"/>
      <c r="DO779" s="41"/>
      <c r="DP779" s="41"/>
      <c r="DQ779" s="41"/>
      <c r="DR779" s="41"/>
      <c r="DS779" s="41"/>
      <c r="DT779" s="41"/>
      <c r="DU779" s="41"/>
      <c r="DV779" s="41"/>
      <c r="DW779" s="41"/>
      <c r="DX779" s="41"/>
      <c r="DY779" s="41"/>
      <c r="DZ779" s="41"/>
      <c r="EA779" s="41"/>
      <c r="EB779" s="41"/>
      <c r="EC779" s="41"/>
      <c r="ED779" s="41"/>
      <c r="EE779" s="41"/>
      <c r="EF779" s="41"/>
      <c r="EG779" s="41"/>
      <c r="EH779" s="41"/>
      <c r="EI779" s="41"/>
      <c r="EJ779" s="41"/>
      <c r="EK779" s="41"/>
      <c r="EL779" s="41"/>
      <c r="EM779" s="41"/>
      <c r="EN779" s="41"/>
      <c r="EO779" s="41"/>
      <c r="EP779" s="41"/>
      <c r="EQ779" s="41"/>
      <c r="ER779" s="41"/>
      <c r="ES779" s="41"/>
      <c r="ET779" s="41"/>
      <c r="EU779" s="41"/>
      <c r="EV779" s="41"/>
      <c r="EW779" s="41"/>
      <c r="EX779" s="41"/>
      <c r="EY779" s="41"/>
      <c r="EZ779" s="41"/>
      <c r="FA779" s="41"/>
      <c r="FB779" s="41"/>
      <c r="FC779" s="41"/>
      <c r="FD779" s="41"/>
      <c r="FE779" s="41"/>
      <c r="FF779" s="41"/>
      <c r="FG779" s="41"/>
      <c r="FH779" s="41"/>
      <c r="FI779" s="41"/>
      <c r="FJ779" s="41"/>
      <c r="FK779" s="41"/>
      <c r="FL779" s="41"/>
      <c r="FM779" s="41"/>
      <c r="FN779" s="41"/>
      <c r="FO779" s="41"/>
      <c r="FP779" s="41"/>
      <c r="FQ779" s="41"/>
      <c r="FR779" s="41"/>
      <c r="FS779" s="41"/>
      <c r="FT779" s="41"/>
      <c r="FU779" s="41"/>
      <c r="FV779" s="41"/>
      <c r="FW779" s="41"/>
      <c r="FX779" s="41"/>
      <c r="FY779" s="41"/>
      <c r="FZ779" s="41"/>
      <c r="GA779" s="41"/>
      <c r="GB779" s="41"/>
      <c r="GC779" s="41"/>
      <c r="GD779" s="41"/>
      <c r="GE779" s="41"/>
      <c r="GF779" s="41"/>
      <c r="GG779" s="41"/>
      <c r="GH779" s="41"/>
      <c r="GI779" s="41"/>
      <c r="GJ779" s="41"/>
      <c r="GK779" s="41"/>
      <c r="GL779" s="41"/>
      <c r="GM779" s="41"/>
      <c r="GN779" s="41"/>
      <c r="GO779" s="41"/>
      <c r="GP779" s="41"/>
      <c r="GQ779" s="41"/>
      <c r="GR779" s="41"/>
      <c r="GS779" s="41"/>
      <c r="GT779" s="41"/>
      <c r="GU779" s="41"/>
      <c r="GV779" s="41"/>
      <c r="GW779" s="41"/>
      <c r="GX779" s="41"/>
      <c r="GY779" s="41"/>
      <c r="GZ779" s="41"/>
      <c r="HA779" s="41"/>
      <c r="HB779" s="41"/>
      <c r="HC779" s="41"/>
      <c r="HD779" s="41"/>
      <c r="HE779" s="41"/>
      <c r="HF779" s="41"/>
      <c r="HG779" s="41"/>
      <c r="HH779" s="41"/>
      <c r="HI779" s="41"/>
      <c r="HJ779" s="41"/>
      <c r="HK779" s="41"/>
      <c r="HL779" s="41"/>
      <c r="HM779" s="41"/>
      <c r="HN779" s="41"/>
      <c r="HO779" s="41"/>
      <c r="HP779" s="41"/>
      <c r="HQ779" s="41"/>
      <c r="HR779" s="41"/>
      <c r="HS779" s="41"/>
      <c r="HT779" s="41"/>
      <c r="HU779" s="41"/>
      <c r="HV779" s="41"/>
      <c r="HW779" s="41"/>
      <c r="HX779" s="41"/>
      <c r="HY779" s="41"/>
      <c r="HZ779" s="41"/>
      <c r="IA779" s="41"/>
      <c r="IB779" s="41"/>
      <c r="IC779" s="41"/>
      <c r="ID779" s="41"/>
      <c r="IE779" s="41"/>
      <c r="IF779" s="41"/>
      <c r="IG779" s="41"/>
      <c r="IH779" s="41"/>
      <c r="II779" s="41"/>
      <c r="IJ779" s="41"/>
      <c r="IK779" s="41"/>
      <c r="IL779" s="41"/>
    </row>
    <row r="780" spans="1:246" s="3" customFormat="1" ht="30" customHeight="1" x14ac:dyDescent="0.2">
      <c r="A780" s="16"/>
      <c r="B780" s="15" t="s">
        <v>24</v>
      </c>
      <c r="C780" s="9">
        <v>50000</v>
      </c>
      <c r="D780" s="9">
        <v>50000</v>
      </c>
      <c r="E780" s="530"/>
      <c r="F780" s="496"/>
      <c r="G780" s="126"/>
      <c r="H780" s="130"/>
      <c r="I780" s="130"/>
      <c r="J780" s="6"/>
      <c r="K780" s="41"/>
      <c r="L780" s="41"/>
      <c r="M780" s="41"/>
      <c r="N780" s="41"/>
      <c r="O780" s="41"/>
      <c r="P780" s="41"/>
      <c r="Q780" s="41"/>
      <c r="R780" s="41"/>
      <c r="S780" s="41"/>
      <c r="T780" s="41"/>
      <c r="U780" s="41"/>
      <c r="V780" s="41"/>
      <c r="W780" s="41"/>
      <c r="X780" s="41"/>
      <c r="Y780" s="41"/>
      <c r="Z780" s="41"/>
      <c r="AA780" s="41"/>
      <c r="AB780" s="41"/>
      <c r="AC780" s="41"/>
      <c r="AD780" s="41"/>
      <c r="AE780" s="41"/>
      <c r="AF780" s="41"/>
      <c r="AG780" s="41"/>
      <c r="AH780" s="41"/>
      <c r="AI780" s="41"/>
      <c r="AJ780" s="41"/>
      <c r="AK780" s="41"/>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c r="CT780" s="41"/>
      <c r="CU780" s="41"/>
      <c r="CV780" s="41"/>
      <c r="CW780" s="41"/>
      <c r="CX780" s="41"/>
      <c r="CY780" s="41"/>
      <c r="CZ780" s="41"/>
      <c r="DA780" s="41"/>
      <c r="DB780" s="41"/>
      <c r="DC780" s="41"/>
      <c r="DD780" s="41"/>
      <c r="DE780" s="41"/>
      <c r="DF780" s="41"/>
      <c r="DG780" s="41"/>
      <c r="DH780" s="41"/>
      <c r="DI780" s="41"/>
      <c r="DJ780" s="41"/>
      <c r="DK780" s="41"/>
      <c r="DL780" s="41"/>
      <c r="DM780" s="41"/>
      <c r="DN780" s="41"/>
      <c r="DO780" s="41"/>
      <c r="DP780" s="41"/>
      <c r="DQ780" s="41"/>
      <c r="DR780" s="41"/>
      <c r="DS780" s="41"/>
      <c r="DT780" s="41"/>
      <c r="DU780" s="41"/>
      <c r="DV780" s="41"/>
      <c r="DW780" s="41"/>
      <c r="DX780" s="41"/>
      <c r="DY780" s="41"/>
      <c r="DZ780" s="41"/>
      <c r="EA780" s="41"/>
      <c r="EB780" s="41"/>
      <c r="EC780" s="41"/>
      <c r="ED780" s="41"/>
      <c r="EE780" s="41"/>
      <c r="EF780" s="41"/>
      <c r="EG780" s="41"/>
      <c r="EH780" s="41"/>
      <c r="EI780" s="41"/>
      <c r="EJ780" s="41"/>
      <c r="EK780" s="41"/>
      <c r="EL780" s="41"/>
      <c r="EM780" s="41"/>
      <c r="EN780" s="41"/>
      <c r="EO780" s="41"/>
      <c r="EP780" s="41"/>
      <c r="EQ780" s="41"/>
      <c r="ER780" s="41"/>
      <c r="ES780" s="41"/>
      <c r="ET780" s="41"/>
      <c r="EU780" s="41"/>
      <c r="EV780" s="41"/>
      <c r="EW780" s="41"/>
      <c r="EX780" s="41"/>
      <c r="EY780" s="41"/>
      <c r="EZ780" s="41"/>
      <c r="FA780" s="41"/>
      <c r="FB780" s="41"/>
      <c r="FC780" s="41"/>
      <c r="FD780" s="41"/>
      <c r="FE780" s="41"/>
      <c r="FF780" s="41"/>
      <c r="FG780" s="41"/>
      <c r="FH780" s="41"/>
      <c r="FI780" s="41"/>
      <c r="FJ780" s="41"/>
      <c r="FK780" s="41"/>
      <c r="FL780" s="41"/>
      <c r="FM780" s="41"/>
      <c r="FN780" s="41"/>
      <c r="FO780" s="41"/>
      <c r="FP780" s="41"/>
      <c r="FQ780" s="41"/>
      <c r="FR780" s="41"/>
      <c r="FS780" s="41"/>
      <c r="FT780" s="41"/>
      <c r="FU780" s="41"/>
      <c r="FV780" s="41"/>
      <c r="FW780" s="41"/>
      <c r="FX780" s="41"/>
      <c r="FY780" s="41"/>
      <c r="FZ780" s="41"/>
      <c r="GA780" s="41"/>
      <c r="GB780" s="41"/>
      <c r="GC780" s="41"/>
      <c r="GD780" s="41"/>
      <c r="GE780" s="41"/>
      <c r="GF780" s="41"/>
      <c r="GG780" s="41"/>
      <c r="GH780" s="41"/>
      <c r="GI780" s="41"/>
      <c r="GJ780" s="41"/>
      <c r="GK780" s="41"/>
      <c r="GL780" s="41"/>
      <c r="GM780" s="41"/>
      <c r="GN780" s="41"/>
      <c r="GO780" s="41"/>
      <c r="GP780" s="41"/>
      <c r="GQ780" s="41"/>
      <c r="GR780" s="41"/>
      <c r="GS780" s="41"/>
      <c r="GT780" s="41"/>
      <c r="GU780" s="41"/>
      <c r="GV780" s="41"/>
      <c r="GW780" s="41"/>
      <c r="GX780" s="41"/>
      <c r="GY780" s="41"/>
      <c r="GZ780" s="41"/>
      <c r="HA780" s="41"/>
      <c r="HB780" s="41"/>
      <c r="HC780" s="41"/>
      <c r="HD780" s="41"/>
      <c r="HE780" s="41"/>
      <c r="HF780" s="41"/>
      <c r="HG780" s="41"/>
      <c r="HH780" s="41"/>
      <c r="HI780" s="41"/>
      <c r="HJ780" s="41"/>
      <c r="HK780" s="41"/>
      <c r="HL780" s="41"/>
      <c r="HM780" s="41"/>
      <c r="HN780" s="41"/>
      <c r="HO780" s="41"/>
      <c r="HP780" s="41"/>
      <c r="HQ780" s="41"/>
      <c r="HR780" s="41"/>
      <c r="HS780" s="41"/>
      <c r="HT780" s="41"/>
      <c r="HU780" s="41"/>
      <c r="HV780" s="41"/>
      <c r="HW780" s="41"/>
      <c r="HX780" s="41"/>
      <c r="HY780" s="41"/>
      <c r="HZ780" s="41"/>
      <c r="IA780" s="41"/>
      <c r="IB780" s="41"/>
      <c r="IC780" s="41"/>
      <c r="ID780" s="41"/>
      <c r="IE780" s="41"/>
      <c r="IF780" s="41"/>
      <c r="IG780" s="41"/>
      <c r="IH780" s="41"/>
      <c r="II780" s="41"/>
      <c r="IJ780" s="41"/>
      <c r="IK780" s="41"/>
      <c r="IL780" s="41"/>
    </row>
    <row r="781" spans="1:246" s="3" customFormat="1" ht="30" customHeight="1" thickBot="1" x14ac:dyDescent="0.25">
      <c r="A781" s="16"/>
      <c r="B781" s="15" t="s">
        <v>23</v>
      </c>
      <c r="C781" s="9">
        <v>300000</v>
      </c>
      <c r="D781" s="9">
        <v>300000</v>
      </c>
      <c r="E781" s="530"/>
      <c r="F781" s="496"/>
      <c r="G781" s="126"/>
      <c r="H781" s="130"/>
      <c r="I781" s="130"/>
      <c r="J781" s="6"/>
      <c r="K781" s="41"/>
      <c r="L781" s="41"/>
      <c r="M781" s="41"/>
      <c r="N781" s="41"/>
      <c r="O781" s="41"/>
      <c r="P781" s="41"/>
      <c r="Q781" s="41"/>
      <c r="R781" s="41"/>
      <c r="S781" s="41"/>
      <c r="T781" s="41"/>
      <c r="U781" s="41"/>
      <c r="V781" s="41"/>
      <c r="W781" s="41"/>
      <c r="X781" s="41"/>
      <c r="Y781" s="41"/>
      <c r="Z781" s="41"/>
      <c r="AA781" s="41"/>
      <c r="AB781" s="41"/>
      <c r="AC781" s="41"/>
      <c r="AD781" s="41"/>
      <c r="AE781" s="41"/>
      <c r="AF781" s="41"/>
      <c r="AG781" s="41"/>
      <c r="AH781" s="41"/>
      <c r="AI781" s="41"/>
      <c r="AJ781" s="41"/>
      <c r="AK781" s="41"/>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c r="CT781" s="41"/>
      <c r="CU781" s="41"/>
      <c r="CV781" s="41"/>
      <c r="CW781" s="41"/>
      <c r="CX781" s="41"/>
      <c r="CY781" s="41"/>
      <c r="CZ781" s="41"/>
      <c r="DA781" s="41"/>
      <c r="DB781" s="41"/>
      <c r="DC781" s="41"/>
      <c r="DD781" s="41"/>
      <c r="DE781" s="41"/>
      <c r="DF781" s="41"/>
      <c r="DG781" s="41"/>
      <c r="DH781" s="41"/>
      <c r="DI781" s="41"/>
      <c r="DJ781" s="41"/>
      <c r="DK781" s="41"/>
      <c r="DL781" s="41"/>
      <c r="DM781" s="41"/>
      <c r="DN781" s="41"/>
      <c r="DO781" s="41"/>
      <c r="DP781" s="41"/>
      <c r="DQ781" s="41"/>
      <c r="DR781" s="41"/>
      <c r="DS781" s="41"/>
      <c r="DT781" s="41"/>
      <c r="DU781" s="41"/>
      <c r="DV781" s="41"/>
      <c r="DW781" s="41"/>
      <c r="DX781" s="41"/>
      <c r="DY781" s="41"/>
      <c r="DZ781" s="41"/>
      <c r="EA781" s="41"/>
      <c r="EB781" s="41"/>
      <c r="EC781" s="41"/>
      <c r="ED781" s="41"/>
      <c r="EE781" s="41"/>
      <c r="EF781" s="41"/>
      <c r="EG781" s="41"/>
      <c r="EH781" s="41"/>
      <c r="EI781" s="41"/>
      <c r="EJ781" s="41"/>
      <c r="EK781" s="41"/>
      <c r="EL781" s="41"/>
      <c r="EM781" s="41"/>
      <c r="EN781" s="41"/>
      <c r="EO781" s="41"/>
      <c r="EP781" s="41"/>
      <c r="EQ781" s="41"/>
      <c r="ER781" s="41"/>
      <c r="ES781" s="41"/>
      <c r="ET781" s="41"/>
      <c r="EU781" s="41"/>
      <c r="EV781" s="41"/>
      <c r="EW781" s="41"/>
      <c r="EX781" s="41"/>
      <c r="EY781" s="41"/>
      <c r="EZ781" s="41"/>
      <c r="FA781" s="41"/>
      <c r="FB781" s="41"/>
      <c r="FC781" s="41"/>
      <c r="FD781" s="41"/>
      <c r="FE781" s="41"/>
      <c r="FF781" s="41"/>
      <c r="FG781" s="41"/>
      <c r="FH781" s="41"/>
      <c r="FI781" s="41"/>
      <c r="FJ781" s="41"/>
      <c r="FK781" s="41"/>
      <c r="FL781" s="41"/>
      <c r="FM781" s="41"/>
      <c r="FN781" s="41"/>
      <c r="FO781" s="41"/>
      <c r="FP781" s="41"/>
      <c r="FQ781" s="41"/>
      <c r="FR781" s="41"/>
      <c r="FS781" s="41"/>
      <c r="FT781" s="41"/>
      <c r="FU781" s="41"/>
      <c r="FV781" s="41"/>
      <c r="FW781" s="41"/>
      <c r="FX781" s="41"/>
      <c r="FY781" s="41"/>
      <c r="FZ781" s="41"/>
      <c r="GA781" s="41"/>
      <c r="GB781" s="41"/>
      <c r="GC781" s="41"/>
      <c r="GD781" s="41"/>
      <c r="GE781" s="41"/>
      <c r="GF781" s="41"/>
      <c r="GG781" s="41"/>
      <c r="GH781" s="41"/>
      <c r="GI781" s="41"/>
      <c r="GJ781" s="41"/>
      <c r="GK781" s="41"/>
      <c r="GL781" s="41"/>
      <c r="GM781" s="41"/>
      <c r="GN781" s="41"/>
      <c r="GO781" s="41"/>
      <c r="GP781" s="41"/>
      <c r="GQ781" s="41"/>
      <c r="GR781" s="41"/>
      <c r="GS781" s="41"/>
      <c r="GT781" s="41"/>
      <c r="GU781" s="41"/>
      <c r="GV781" s="41"/>
      <c r="GW781" s="41"/>
      <c r="GX781" s="41"/>
      <c r="GY781" s="41"/>
      <c r="GZ781" s="41"/>
      <c r="HA781" s="41"/>
      <c r="HB781" s="41"/>
      <c r="HC781" s="41"/>
      <c r="HD781" s="41"/>
      <c r="HE781" s="41"/>
      <c r="HF781" s="41"/>
      <c r="HG781" s="41"/>
      <c r="HH781" s="41"/>
      <c r="HI781" s="41"/>
      <c r="HJ781" s="41"/>
      <c r="HK781" s="41"/>
      <c r="HL781" s="41"/>
      <c r="HM781" s="41"/>
      <c r="HN781" s="41"/>
      <c r="HO781" s="41"/>
      <c r="HP781" s="41"/>
      <c r="HQ781" s="41"/>
      <c r="HR781" s="41"/>
      <c r="HS781" s="41"/>
      <c r="HT781" s="41"/>
      <c r="HU781" s="41"/>
      <c r="HV781" s="41"/>
      <c r="HW781" s="41"/>
      <c r="HX781" s="41"/>
      <c r="HY781" s="41"/>
      <c r="HZ781" s="41"/>
      <c r="IA781" s="41"/>
      <c r="IB781" s="41"/>
      <c r="IC781" s="41"/>
      <c r="ID781" s="41"/>
      <c r="IE781" s="41"/>
      <c r="IF781" s="41"/>
      <c r="IG781" s="41"/>
      <c r="IH781" s="41"/>
      <c r="II781" s="41"/>
      <c r="IJ781" s="41"/>
      <c r="IK781" s="41"/>
      <c r="IL781" s="41"/>
    </row>
    <row r="782" spans="1:246" s="3" customFormat="1" ht="30" customHeight="1" thickBot="1" x14ac:dyDescent="0.3">
      <c r="A782" s="45"/>
      <c r="B782" s="44" t="s">
        <v>22</v>
      </c>
      <c r="C782" s="43">
        <v>0</v>
      </c>
      <c r="D782" s="43">
        <v>0</v>
      </c>
      <c r="E782" s="479"/>
      <c r="F782" s="479"/>
      <c r="G782" s="479"/>
      <c r="H782" s="479"/>
      <c r="I782" s="479"/>
      <c r="J782" s="6"/>
      <c r="K782" s="41"/>
      <c r="L782" s="41"/>
      <c r="M782" s="41"/>
      <c r="N782" s="41"/>
      <c r="O782" s="41"/>
      <c r="P782" s="41"/>
      <c r="Q782" s="41"/>
      <c r="R782" s="41"/>
      <c r="S782" s="41"/>
      <c r="T782" s="41"/>
      <c r="U782" s="41"/>
      <c r="V782" s="41"/>
      <c r="W782" s="41"/>
      <c r="X782" s="41"/>
      <c r="Y782" s="41"/>
      <c r="Z782" s="41"/>
      <c r="AA782" s="41"/>
      <c r="AB782" s="41"/>
      <c r="AC782" s="41"/>
      <c r="AD782" s="41"/>
      <c r="AE782" s="41"/>
      <c r="AF782" s="41"/>
      <c r="AG782" s="41"/>
      <c r="AH782" s="41"/>
      <c r="AI782" s="41"/>
      <c r="AJ782" s="41"/>
      <c r="AK782" s="41"/>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c r="CT782" s="41"/>
      <c r="CU782" s="41"/>
      <c r="CV782" s="41"/>
      <c r="CW782" s="41"/>
      <c r="CX782" s="41"/>
      <c r="CY782" s="41"/>
      <c r="CZ782" s="41"/>
      <c r="DA782" s="41"/>
      <c r="DB782" s="41"/>
      <c r="DC782" s="41"/>
      <c r="DD782" s="41"/>
      <c r="DE782" s="41"/>
      <c r="DF782" s="41"/>
      <c r="DG782" s="41"/>
      <c r="DH782" s="41"/>
      <c r="DI782" s="41"/>
      <c r="DJ782" s="41"/>
      <c r="DK782" s="41"/>
      <c r="DL782" s="41"/>
      <c r="DM782" s="41"/>
      <c r="DN782" s="41"/>
      <c r="DO782" s="41"/>
      <c r="DP782" s="41"/>
      <c r="DQ782" s="41"/>
      <c r="DR782" s="41"/>
      <c r="DS782" s="41"/>
      <c r="DT782" s="41"/>
      <c r="DU782" s="41"/>
      <c r="DV782" s="41"/>
      <c r="DW782" s="41"/>
      <c r="DX782" s="41"/>
      <c r="DY782" s="41"/>
      <c r="DZ782" s="41"/>
      <c r="EA782" s="41"/>
      <c r="EB782" s="41"/>
      <c r="EC782" s="41"/>
      <c r="ED782" s="41"/>
      <c r="EE782" s="41"/>
      <c r="EF782" s="41"/>
      <c r="EG782" s="41"/>
      <c r="EH782" s="41"/>
      <c r="EI782" s="41"/>
      <c r="EJ782" s="41"/>
      <c r="EK782" s="41"/>
      <c r="EL782" s="41"/>
      <c r="EM782" s="41"/>
      <c r="EN782" s="41"/>
      <c r="EO782" s="41"/>
      <c r="EP782" s="41"/>
      <c r="EQ782" s="41"/>
      <c r="ER782" s="41"/>
      <c r="ES782" s="41"/>
      <c r="ET782" s="41"/>
      <c r="EU782" s="41"/>
      <c r="EV782" s="41"/>
      <c r="EW782" s="41"/>
      <c r="EX782" s="41"/>
      <c r="EY782" s="41"/>
      <c r="EZ782" s="41"/>
      <c r="FA782" s="41"/>
      <c r="FB782" s="41"/>
      <c r="FC782" s="41"/>
      <c r="FD782" s="41"/>
      <c r="FE782" s="41"/>
      <c r="FF782" s="41"/>
      <c r="FG782" s="41"/>
      <c r="FH782" s="41"/>
      <c r="FI782" s="41"/>
      <c r="FJ782" s="41"/>
      <c r="FK782" s="41"/>
      <c r="FL782" s="41"/>
      <c r="FM782" s="41"/>
      <c r="FN782" s="41"/>
      <c r="FO782" s="41"/>
      <c r="FP782" s="41"/>
      <c r="FQ782" s="41"/>
      <c r="FR782" s="41"/>
      <c r="FS782" s="41"/>
      <c r="FT782" s="41"/>
      <c r="FU782" s="41"/>
      <c r="FV782" s="41"/>
      <c r="FW782" s="41"/>
      <c r="FX782" s="41"/>
      <c r="FY782" s="41"/>
      <c r="FZ782" s="41"/>
      <c r="GA782" s="41"/>
      <c r="GB782" s="41"/>
      <c r="GC782" s="41"/>
      <c r="GD782" s="41"/>
      <c r="GE782" s="41"/>
      <c r="GF782" s="41"/>
      <c r="GG782" s="41"/>
      <c r="GH782" s="41"/>
      <c r="GI782" s="41"/>
      <c r="GJ782" s="41"/>
      <c r="GK782" s="41"/>
      <c r="GL782" s="41"/>
      <c r="GM782" s="41"/>
      <c r="GN782" s="41"/>
      <c r="GO782" s="41"/>
      <c r="GP782" s="41"/>
      <c r="GQ782" s="41"/>
      <c r="GR782" s="41"/>
      <c r="GS782" s="41"/>
      <c r="GT782" s="41"/>
      <c r="GU782" s="41"/>
      <c r="GV782" s="41"/>
      <c r="GW782" s="41"/>
      <c r="GX782" s="41"/>
      <c r="GY782" s="41"/>
      <c r="GZ782" s="41"/>
      <c r="HA782" s="41"/>
      <c r="HB782" s="41"/>
      <c r="HC782" s="41"/>
      <c r="HD782" s="41"/>
      <c r="HE782" s="41"/>
      <c r="HF782" s="41"/>
      <c r="HG782" s="41"/>
      <c r="HH782" s="41"/>
      <c r="HI782" s="41"/>
      <c r="HJ782" s="41"/>
      <c r="HK782" s="41"/>
      <c r="HL782" s="41"/>
      <c r="HM782" s="41"/>
      <c r="HN782" s="41"/>
      <c r="HO782" s="41"/>
      <c r="HP782" s="41"/>
      <c r="HQ782" s="41"/>
      <c r="HR782" s="41"/>
      <c r="HS782" s="41"/>
      <c r="HT782" s="41"/>
      <c r="HU782" s="41"/>
      <c r="HV782" s="41"/>
      <c r="HW782" s="41"/>
      <c r="HX782" s="41"/>
      <c r="HY782" s="41"/>
      <c r="HZ782" s="41"/>
      <c r="IA782" s="41"/>
      <c r="IB782" s="41"/>
      <c r="IC782" s="41"/>
      <c r="ID782" s="41"/>
      <c r="IE782" s="41"/>
      <c r="IF782" s="41"/>
      <c r="IG782" s="41"/>
      <c r="IH782" s="41"/>
      <c r="II782" s="41"/>
      <c r="IJ782" s="41"/>
      <c r="IK782" s="41"/>
      <c r="IL782" s="41"/>
    </row>
    <row r="783" spans="1:246" s="3" customFormat="1" ht="30" customHeight="1" x14ac:dyDescent="0.2">
      <c r="A783" s="42">
        <v>3699</v>
      </c>
      <c r="B783" s="29" t="s">
        <v>21</v>
      </c>
      <c r="C783" s="24">
        <v>0</v>
      </c>
      <c r="D783" s="24">
        <v>0</v>
      </c>
      <c r="E783" s="556"/>
      <c r="F783" s="556"/>
      <c r="G783" s="120"/>
      <c r="H783" s="121"/>
      <c r="I783" s="121"/>
      <c r="J783" s="14"/>
      <c r="K783" s="41"/>
      <c r="L783" s="41"/>
      <c r="M783" s="41"/>
      <c r="N783" s="41"/>
      <c r="O783" s="41"/>
      <c r="P783" s="41"/>
      <c r="Q783" s="41"/>
      <c r="R783" s="41"/>
      <c r="S783" s="41"/>
      <c r="T783" s="41"/>
      <c r="U783" s="41"/>
      <c r="V783" s="41"/>
      <c r="W783" s="41"/>
      <c r="X783" s="41"/>
      <c r="Y783" s="41"/>
      <c r="Z783" s="41"/>
      <c r="AA783" s="41"/>
      <c r="AB783" s="41"/>
      <c r="AC783" s="41"/>
      <c r="AD783" s="41"/>
      <c r="AE783" s="41"/>
      <c r="AF783" s="41"/>
      <c r="AG783" s="41"/>
      <c r="AH783" s="41"/>
      <c r="AI783" s="41"/>
      <c r="AJ783" s="41"/>
      <c r="AK783" s="41"/>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c r="CT783" s="41"/>
      <c r="CU783" s="41"/>
      <c r="CV783" s="41"/>
      <c r="CW783" s="41"/>
      <c r="CX783" s="41"/>
      <c r="CY783" s="41"/>
      <c r="CZ783" s="41"/>
      <c r="DA783" s="41"/>
      <c r="DB783" s="41"/>
      <c r="DC783" s="41"/>
      <c r="DD783" s="41"/>
      <c r="DE783" s="41"/>
      <c r="DF783" s="41"/>
      <c r="DG783" s="41"/>
      <c r="DH783" s="41"/>
      <c r="DI783" s="41"/>
      <c r="DJ783" s="41"/>
      <c r="DK783" s="41"/>
      <c r="DL783" s="41"/>
      <c r="DM783" s="41"/>
      <c r="DN783" s="41"/>
      <c r="DO783" s="41"/>
      <c r="DP783" s="41"/>
      <c r="DQ783" s="41"/>
      <c r="DR783" s="41"/>
      <c r="DS783" s="41"/>
      <c r="DT783" s="41"/>
      <c r="DU783" s="41"/>
      <c r="DV783" s="41"/>
      <c r="DW783" s="41"/>
      <c r="DX783" s="41"/>
      <c r="DY783" s="41"/>
      <c r="DZ783" s="41"/>
      <c r="EA783" s="41"/>
      <c r="EB783" s="41"/>
      <c r="EC783" s="41"/>
      <c r="ED783" s="41"/>
      <c r="EE783" s="41"/>
      <c r="EF783" s="41"/>
      <c r="EG783" s="41"/>
      <c r="EH783" s="41"/>
      <c r="EI783" s="41"/>
      <c r="EJ783" s="41"/>
      <c r="EK783" s="41"/>
      <c r="EL783" s="41"/>
      <c r="EM783" s="41"/>
      <c r="EN783" s="41"/>
      <c r="EO783" s="41"/>
      <c r="EP783" s="41"/>
      <c r="EQ783" s="41"/>
      <c r="ER783" s="41"/>
      <c r="ES783" s="41"/>
      <c r="ET783" s="41"/>
      <c r="EU783" s="41"/>
      <c r="EV783" s="41"/>
      <c r="EW783" s="41"/>
      <c r="EX783" s="41"/>
      <c r="EY783" s="41"/>
      <c r="EZ783" s="41"/>
      <c r="FA783" s="41"/>
      <c r="FB783" s="41"/>
      <c r="FC783" s="41"/>
      <c r="FD783" s="41"/>
      <c r="FE783" s="41"/>
      <c r="FF783" s="41"/>
      <c r="FG783" s="41"/>
      <c r="FH783" s="41"/>
      <c r="FI783" s="41"/>
      <c r="FJ783" s="41"/>
      <c r="FK783" s="41"/>
      <c r="FL783" s="41"/>
      <c r="FM783" s="41"/>
      <c r="FN783" s="41"/>
      <c r="FO783" s="41"/>
      <c r="FP783" s="41"/>
      <c r="FQ783" s="41"/>
      <c r="FR783" s="41"/>
      <c r="FS783" s="41"/>
      <c r="FT783" s="41"/>
      <c r="FU783" s="41"/>
      <c r="FV783" s="41"/>
      <c r="FW783" s="41"/>
      <c r="FX783" s="41"/>
      <c r="FY783" s="41"/>
      <c r="FZ783" s="41"/>
      <c r="GA783" s="41"/>
      <c r="GB783" s="41"/>
      <c r="GC783" s="41"/>
      <c r="GD783" s="41"/>
      <c r="GE783" s="41"/>
      <c r="GF783" s="41"/>
      <c r="GG783" s="41"/>
      <c r="GH783" s="41"/>
      <c r="GI783" s="41"/>
      <c r="GJ783" s="41"/>
      <c r="GK783" s="41"/>
      <c r="GL783" s="41"/>
      <c r="GM783" s="41"/>
      <c r="GN783" s="41"/>
      <c r="GO783" s="41"/>
      <c r="GP783" s="41"/>
      <c r="GQ783" s="41"/>
      <c r="GR783" s="41"/>
      <c r="GS783" s="41"/>
      <c r="GT783" s="41"/>
      <c r="GU783" s="41"/>
      <c r="GV783" s="41"/>
      <c r="GW783" s="41"/>
      <c r="GX783" s="41"/>
      <c r="GY783" s="41"/>
      <c r="GZ783" s="41"/>
      <c r="HA783" s="41"/>
      <c r="HB783" s="41"/>
      <c r="HC783" s="41"/>
      <c r="HD783" s="41"/>
      <c r="HE783" s="41"/>
      <c r="HF783" s="41"/>
      <c r="HG783" s="41"/>
      <c r="HH783" s="41"/>
      <c r="HI783" s="41"/>
      <c r="HJ783" s="41"/>
      <c r="HK783" s="41"/>
      <c r="HL783" s="41"/>
      <c r="HM783" s="41"/>
      <c r="HN783" s="41"/>
      <c r="HO783" s="41"/>
      <c r="HP783" s="41"/>
      <c r="HQ783" s="41"/>
      <c r="HR783" s="41"/>
      <c r="HS783" s="41"/>
      <c r="HT783" s="41"/>
      <c r="HU783" s="41"/>
      <c r="HV783" s="41"/>
      <c r="HW783" s="41"/>
      <c r="HX783" s="41"/>
      <c r="HY783" s="41"/>
      <c r="HZ783" s="41"/>
      <c r="IA783" s="41"/>
      <c r="IB783" s="41"/>
      <c r="IC783" s="41"/>
      <c r="ID783" s="41"/>
      <c r="IE783" s="41"/>
      <c r="IF783" s="41"/>
      <c r="IG783" s="41"/>
      <c r="IH783" s="41"/>
      <c r="II783" s="41"/>
      <c r="IJ783" s="41"/>
      <c r="IK783" s="41"/>
      <c r="IL783" s="41"/>
    </row>
    <row r="784" spans="1:246" ht="30" customHeight="1" thickBot="1" x14ac:dyDescent="0.25">
      <c r="A784" s="40"/>
      <c r="B784" s="39"/>
      <c r="C784" s="11"/>
      <c r="D784" s="11"/>
      <c r="E784" s="517"/>
      <c r="F784" s="518"/>
      <c r="G784" s="517"/>
      <c r="H784" s="517"/>
      <c r="I784" s="517"/>
      <c r="J784" s="568"/>
      <c r="K784" s="38"/>
      <c r="L784" s="38"/>
      <c r="M784" s="38"/>
      <c r="N784" s="38"/>
      <c r="O784" s="38"/>
      <c r="P784" s="38"/>
      <c r="Q784" s="38"/>
      <c r="R784" s="38"/>
      <c r="S784" s="38"/>
      <c r="T784" s="38"/>
      <c r="U784" s="38"/>
      <c r="V784" s="38"/>
      <c r="W784" s="38"/>
      <c r="X784" s="38"/>
      <c r="Y784" s="38"/>
      <c r="Z784" s="38"/>
      <c r="AA784" s="38"/>
      <c r="AB784" s="38"/>
      <c r="AC784" s="38"/>
      <c r="AD784" s="38"/>
      <c r="AE784" s="38"/>
      <c r="AF784" s="38"/>
      <c r="AG784" s="38"/>
      <c r="AH784" s="38"/>
      <c r="AI784" s="38"/>
      <c r="AJ784" s="38"/>
      <c r="AK784" s="38"/>
      <c r="AL784" s="38"/>
      <c r="AM784" s="38"/>
      <c r="AN784" s="38"/>
      <c r="AO784" s="38"/>
      <c r="AP784" s="38"/>
      <c r="AQ784" s="38"/>
      <c r="AR784" s="38"/>
      <c r="AS784" s="38"/>
      <c r="AT784" s="38"/>
      <c r="AU784" s="38"/>
      <c r="AV784" s="38"/>
      <c r="AW784" s="38"/>
      <c r="AX784" s="38"/>
      <c r="AY784" s="38"/>
      <c r="AZ784" s="38"/>
      <c r="BA784" s="38"/>
      <c r="BB784" s="38"/>
      <c r="BC784" s="38"/>
      <c r="BD784" s="38"/>
      <c r="BE784" s="38"/>
      <c r="BF784" s="38"/>
      <c r="BG784" s="38"/>
      <c r="BH784" s="38"/>
      <c r="BI784" s="38"/>
      <c r="BJ784" s="38"/>
      <c r="BK784" s="38"/>
      <c r="BL784" s="38"/>
      <c r="BM784" s="38"/>
      <c r="BN784" s="38"/>
      <c r="BO784" s="38"/>
      <c r="BP784" s="38"/>
      <c r="BQ784" s="38"/>
      <c r="BR784" s="38"/>
      <c r="BS784" s="38"/>
      <c r="BT784" s="38"/>
      <c r="BU784" s="38"/>
      <c r="BV784" s="38"/>
      <c r="BW784" s="38"/>
      <c r="BX784" s="38"/>
      <c r="BY784" s="38"/>
      <c r="BZ784" s="38"/>
      <c r="CA784" s="38"/>
      <c r="CB784" s="38"/>
      <c r="CC784" s="38"/>
      <c r="CD784" s="38"/>
      <c r="CE784" s="38"/>
      <c r="CF784" s="38"/>
      <c r="CG784" s="38"/>
      <c r="CH784" s="38"/>
      <c r="CI784" s="38"/>
      <c r="CJ784" s="38"/>
      <c r="CK784" s="38"/>
      <c r="CL784" s="38"/>
      <c r="CM784" s="38"/>
      <c r="CN784" s="38"/>
      <c r="CO784" s="38"/>
      <c r="CP784" s="38"/>
      <c r="CQ784" s="38"/>
      <c r="CR784" s="38"/>
      <c r="CS784" s="38"/>
      <c r="CT784" s="38"/>
      <c r="CU784" s="38"/>
      <c r="CV784" s="38"/>
      <c r="CW784" s="38"/>
      <c r="CX784" s="38"/>
      <c r="CY784" s="38"/>
      <c r="CZ784" s="38"/>
      <c r="DA784" s="38"/>
      <c r="DB784" s="38"/>
      <c r="DC784" s="38"/>
      <c r="DD784" s="38"/>
      <c r="DE784" s="38"/>
      <c r="DF784" s="38"/>
      <c r="DG784" s="38"/>
      <c r="DH784" s="38"/>
      <c r="DI784" s="38"/>
      <c r="DJ784" s="38"/>
      <c r="DK784" s="38"/>
      <c r="DL784" s="38"/>
      <c r="DM784" s="38"/>
      <c r="DN784" s="38"/>
      <c r="DO784" s="38"/>
      <c r="DP784" s="38"/>
      <c r="DQ784" s="38"/>
      <c r="DR784" s="38"/>
      <c r="DS784" s="38"/>
      <c r="DT784" s="38"/>
      <c r="DU784" s="38"/>
      <c r="DV784" s="38"/>
      <c r="DW784" s="38"/>
      <c r="DX784" s="38"/>
      <c r="DY784" s="38"/>
      <c r="DZ784" s="38"/>
      <c r="EA784" s="38"/>
      <c r="EB784" s="38"/>
      <c r="EC784" s="38"/>
      <c r="ED784" s="38"/>
      <c r="EE784" s="38"/>
      <c r="EF784" s="38"/>
      <c r="EG784" s="38"/>
      <c r="EH784" s="38"/>
      <c r="EI784" s="38"/>
      <c r="EJ784" s="38"/>
      <c r="EK784" s="38"/>
      <c r="EL784" s="38"/>
      <c r="EM784" s="38"/>
      <c r="EN784" s="38"/>
      <c r="EO784" s="38"/>
      <c r="EP784" s="38"/>
      <c r="EQ784" s="38"/>
      <c r="ER784" s="38"/>
      <c r="ES784" s="38"/>
      <c r="ET784" s="38"/>
      <c r="EU784" s="38"/>
      <c r="EV784" s="38"/>
      <c r="EW784" s="38"/>
      <c r="EX784" s="38"/>
      <c r="EY784" s="38"/>
      <c r="EZ784" s="38"/>
      <c r="FA784" s="38"/>
      <c r="FB784" s="38"/>
      <c r="FC784" s="38"/>
      <c r="FD784" s="38"/>
      <c r="FE784" s="38"/>
      <c r="FF784" s="38"/>
      <c r="FG784" s="38"/>
      <c r="FH784" s="38"/>
      <c r="FI784" s="38"/>
      <c r="FJ784" s="38"/>
      <c r="FK784" s="38"/>
      <c r="FL784" s="38"/>
      <c r="FM784" s="38"/>
      <c r="FN784" s="38"/>
      <c r="FO784" s="38"/>
      <c r="FP784" s="38"/>
      <c r="FQ784" s="38"/>
      <c r="FR784" s="38"/>
      <c r="FS784" s="38"/>
      <c r="FT784" s="38"/>
      <c r="FU784" s="38"/>
      <c r="FV784" s="38"/>
      <c r="FW784" s="38"/>
      <c r="FX784" s="38"/>
      <c r="FY784" s="38"/>
      <c r="FZ784" s="38"/>
      <c r="GA784" s="38"/>
      <c r="GB784" s="38"/>
      <c r="GC784" s="38"/>
      <c r="GD784" s="38"/>
      <c r="GE784" s="38"/>
      <c r="GF784" s="38"/>
      <c r="GG784" s="38"/>
      <c r="GH784" s="38"/>
      <c r="GI784" s="38"/>
      <c r="GJ784" s="38"/>
      <c r="GK784" s="38"/>
      <c r="GL784" s="38"/>
      <c r="GM784" s="38"/>
      <c r="GN784" s="38"/>
      <c r="GO784" s="38"/>
      <c r="GP784" s="38"/>
      <c r="GQ784" s="38"/>
      <c r="GR784" s="38"/>
      <c r="GS784" s="38"/>
      <c r="GT784" s="38"/>
      <c r="GU784" s="38"/>
      <c r="GV784" s="38"/>
      <c r="GW784" s="38"/>
      <c r="GX784" s="38"/>
      <c r="GY784" s="38"/>
      <c r="GZ784" s="38"/>
      <c r="HA784" s="38"/>
      <c r="HB784" s="38"/>
      <c r="HC784" s="38"/>
      <c r="HD784" s="38"/>
      <c r="HE784" s="38"/>
      <c r="HF784" s="38"/>
      <c r="HG784" s="38"/>
      <c r="HH784" s="38"/>
      <c r="HI784" s="38"/>
      <c r="HJ784" s="38"/>
      <c r="HK784" s="38"/>
      <c r="HL784" s="38"/>
      <c r="HM784" s="38"/>
      <c r="HN784" s="38"/>
      <c r="HO784" s="38"/>
      <c r="HP784" s="38"/>
      <c r="HQ784" s="38"/>
      <c r="HR784" s="38"/>
      <c r="HS784" s="38"/>
      <c r="HT784" s="38"/>
      <c r="HU784" s="38"/>
      <c r="HV784" s="38"/>
      <c r="HW784" s="38"/>
      <c r="HX784" s="38"/>
      <c r="HY784" s="38"/>
      <c r="HZ784" s="38"/>
      <c r="IA784" s="38"/>
      <c r="IB784" s="38"/>
      <c r="IC784" s="38"/>
      <c r="ID784" s="38"/>
      <c r="IE784" s="38"/>
      <c r="IF784" s="38"/>
      <c r="IG784" s="38"/>
      <c r="IH784" s="38"/>
      <c r="II784" s="38"/>
      <c r="IJ784" s="38"/>
      <c r="IK784" s="38"/>
      <c r="IL784" s="38"/>
    </row>
    <row r="785" spans="1:11" s="17" customFormat="1" ht="30" customHeight="1" thickBot="1" x14ac:dyDescent="0.35">
      <c r="A785" s="37"/>
      <c r="B785" s="36" t="s">
        <v>20</v>
      </c>
      <c r="C785" s="35">
        <f>SUM(C786:C792,C794:C796,C799,C806)</f>
        <v>36184308.620000005</v>
      </c>
      <c r="D785" s="35">
        <f>SUM(D786:D792,D794:D796,D799,D806)</f>
        <v>48921338.649999999</v>
      </c>
      <c r="E785" s="181"/>
      <c r="F785" s="181"/>
      <c r="G785" s="571"/>
      <c r="H785" s="181"/>
      <c r="I785" s="181"/>
      <c r="J785" s="568"/>
    </row>
    <row r="786" spans="1:11" s="27" customFormat="1" ht="30" customHeight="1" x14ac:dyDescent="0.2">
      <c r="A786" s="34" t="s">
        <v>787</v>
      </c>
      <c r="B786" s="33" t="s">
        <v>784</v>
      </c>
      <c r="C786" s="24">
        <v>10000</v>
      </c>
      <c r="D786" s="24">
        <v>10000</v>
      </c>
      <c r="E786" s="556"/>
      <c r="F786" s="556"/>
      <c r="G786" s="120"/>
      <c r="H786" s="121"/>
      <c r="I786" s="121"/>
      <c r="J786" s="568"/>
    </row>
    <row r="787" spans="1:11" s="27" customFormat="1" ht="30" customHeight="1" x14ac:dyDescent="0.2">
      <c r="A787" s="577" t="s">
        <v>19</v>
      </c>
      <c r="B787" s="32" t="s">
        <v>18</v>
      </c>
      <c r="C787" s="24">
        <f>6808.62+242500</f>
        <v>249308.62</v>
      </c>
      <c r="D787" s="24">
        <f>6808.62+242500</f>
        <v>249308.62</v>
      </c>
      <c r="E787" s="556"/>
      <c r="F787" s="556"/>
      <c r="G787" s="120"/>
      <c r="H787" s="121"/>
      <c r="I787" s="121"/>
      <c r="J787" s="574"/>
    </row>
    <row r="788" spans="1:11" s="3" customFormat="1" ht="30" customHeight="1" x14ac:dyDescent="0.3">
      <c r="A788" s="20">
        <v>3111</v>
      </c>
      <c r="B788" s="19" t="s">
        <v>880</v>
      </c>
      <c r="C788" s="24">
        <v>0</v>
      </c>
      <c r="D788" s="24">
        <v>11654.14</v>
      </c>
      <c r="E788" s="556"/>
      <c r="F788" s="556"/>
      <c r="G788" s="120"/>
      <c r="H788" s="121"/>
      <c r="I788" s="121"/>
      <c r="J788" s="568"/>
      <c r="K788" s="31"/>
    </row>
    <row r="789" spans="1:11" s="3" customFormat="1" ht="30" customHeight="1" x14ac:dyDescent="0.3">
      <c r="A789" s="20">
        <v>3311</v>
      </c>
      <c r="B789" s="19" t="s">
        <v>17</v>
      </c>
      <c r="C789" s="24">
        <v>0</v>
      </c>
      <c r="D789" s="24">
        <v>0</v>
      </c>
      <c r="E789" s="556"/>
      <c r="F789" s="556"/>
      <c r="G789" s="120"/>
      <c r="H789" s="121"/>
      <c r="I789" s="121"/>
      <c r="J789" s="568"/>
      <c r="K789" s="31"/>
    </row>
    <row r="790" spans="1:11" s="3" customFormat="1" ht="30" customHeight="1" x14ac:dyDescent="0.3">
      <c r="A790" s="20">
        <v>3392</v>
      </c>
      <c r="B790" s="19" t="s">
        <v>16</v>
      </c>
      <c r="C790" s="24">
        <v>0</v>
      </c>
      <c r="D790" s="24">
        <v>0</v>
      </c>
      <c r="E790" s="556"/>
      <c r="F790" s="556"/>
      <c r="G790" s="120"/>
      <c r="H790" s="121"/>
      <c r="I790" s="121"/>
      <c r="J790" s="574"/>
      <c r="K790" s="31"/>
    </row>
    <row r="791" spans="1:11" s="3" customFormat="1" ht="30" customHeight="1" x14ac:dyDescent="0.3">
      <c r="A791" s="20">
        <v>3634</v>
      </c>
      <c r="B791" s="19" t="s">
        <v>15</v>
      </c>
      <c r="C791" s="24">
        <v>8000000</v>
      </c>
      <c r="D791" s="24">
        <f>8000000-131390</f>
        <v>7868610</v>
      </c>
      <c r="E791" s="556"/>
      <c r="F791" s="556"/>
      <c r="G791" s="120"/>
      <c r="H791" s="121"/>
      <c r="I791" s="121"/>
      <c r="J791" s="574"/>
      <c r="K791" s="21"/>
    </row>
    <row r="792" spans="1:11" s="27" customFormat="1" ht="30" customHeight="1" x14ac:dyDescent="0.2">
      <c r="A792" s="30">
        <v>3639</v>
      </c>
      <c r="B792" s="29" t="s">
        <v>14</v>
      </c>
      <c r="C792" s="24">
        <f xml:space="preserve"> C793</f>
        <v>150000</v>
      </c>
      <c r="D792" s="24">
        <f xml:space="preserve"> D793</f>
        <v>283612</v>
      </c>
      <c r="E792" s="556"/>
      <c r="F792" s="556"/>
      <c r="G792" s="120"/>
      <c r="H792" s="121"/>
      <c r="I792" s="121"/>
      <c r="J792" s="574"/>
    </row>
    <row r="793" spans="1:11" s="27" customFormat="1" ht="30" customHeight="1" x14ac:dyDescent="0.2">
      <c r="A793" s="20"/>
      <c r="B793" s="28" t="s">
        <v>13</v>
      </c>
      <c r="C793" s="9">
        <v>150000</v>
      </c>
      <c r="D793" s="9">
        <f>150000+133612</f>
        <v>283612</v>
      </c>
      <c r="E793" s="532"/>
      <c r="F793" s="532"/>
      <c r="G793" s="126"/>
      <c r="H793" s="130"/>
      <c r="I793" s="130"/>
      <c r="J793" s="568"/>
    </row>
    <row r="794" spans="1:11" ht="30" customHeight="1" x14ac:dyDescent="0.2">
      <c r="A794" s="20">
        <v>6171</v>
      </c>
      <c r="B794" s="26" t="s">
        <v>12</v>
      </c>
      <c r="C794" s="24">
        <v>150000</v>
      </c>
      <c r="D794" s="24">
        <v>150000</v>
      </c>
      <c r="E794" s="556"/>
      <c r="F794" s="556"/>
      <c r="G794" s="120"/>
      <c r="H794" s="121"/>
      <c r="I794" s="121"/>
      <c r="J794" s="568"/>
    </row>
    <row r="795" spans="1:11" ht="30" customHeight="1" x14ac:dyDescent="0.2">
      <c r="A795" s="20">
        <v>6310</v>
      </c>
      <c r="B795" s="19" t="s">
        <v>11</v>
      </c>
      <c r="C795" s="24">
        <v>320000</v>
      </c>
      <c r="D795" s="24">
        <v>320000</v>
      </c>
      <c r="E795" s="556"/>
      <c r="F795" s="556"/>
      <c r="G795" s="120"/>
      <c r="H795" s="121"/>
      <c r="I795" s="121"/>
      <c r="J795" s="568"/>
    </row>
    <row r="796" spans="1:11" ht="30" customHeight="1" x14ac:dyDescent="0.2">
      <c r="A796" s="20">
        <v>6399</v>
      </c>
      <c r="B796" s="19" t="s">
        <v>10</v>
      </c>
      <c r="C796" s="18">
        <f>SUM(C797:C798)</f>
        <v>26000000</v>
      </c>
      <c r="D796" s="18">
        <f>SUM(D797:D798)</f>
        <v>24037550</v>
      </c>
      <c r="E796" s="556"/>
      <c r="F796" s="556"/>
      <c r="G796" s="120"/>
      <c r="H796" s="121"/>
      <c r="I796" s="121"/>
      <c r="J796" s="568"/>
    </row>
    <row r="797" spans="1:11" ht="30" customHeight="1" x14ac:dyDescent="0.2">
      <c r="A797" s="16"/>
      <c r="B797" s="15" t="s">
        <v>9</v>
      </c>
      <c r="C797" s="10">
        <v>23000000</v>
      </c>
      <c r="D797" s="10">
        <f>23000000-1962450</f>
        <v>21037550</v>
      </c>
      <c r="E797" s="532"/>
      <c r="F797" s="532"/>
      <c r="G797" s="126"/>
      <c r="H797" s="130"/>
      <c r="I797" s="130"/>
      <c r="J797" s="568"/>
    </row>
    <row r="798" spans="1:11" ht="30" customHeight="1" x14ac:dyDescent="0.2">
      <c r="A798" s="16"/>
      <c r="B798" s="15" t="s">
        <v>8</v>
      </c>
      <c r="C798" s="9">
        <v>3000000</v>
      </c>
      <c r="D798" s="9">
        <v>3000000</v>
      </c>
      <c r="E798" s="532"/>
      <c r="F798" s="532"/>
      <c r="G798" s="126"/>
      <c r="H798" s="130"/>
      <c r="I798" s="130"/>
      <c r="J798" s="568"/>
    </row>
    <row r="799" spans="1:11" s="3" customFormat="1" ht="30" customHeight="1" x14ac:dyDescent="0.3">
      <c r="A799" s="20">
        <v>6402</v>
      </c>
      <c r="B799" s="19" t="s">
        <v>7</v>
      </c>
      <c r="C799" s="18">
        <f>SUM(C800:C805)</f>
        <v>0</v>
      </c>
      <c r="D799" s="18">
        <f>SUM(D800:D805)</f>
        <v>36799.64</v>
      </c>
      <c r="E799" s="556"/>
      <c r="F799" s="556"/>
      <c r="G799" s="120"/>
      <c r="H799" s="121"/>
      <c r="I799" s="121"/>
      <c r="J799" s="568"/>
      <c r="K799" s="21"/>
    </row>
    <row r="800" spans="1:11" s="2" customFormat="1" ht="30" customHeight="1" x14ac:dyDescent="0.3">
      <c r="A800" s="23"/>
      <c r="B800" s="22" t="s">
        <v>6</v>
      </c>
      <c r="C800" s="9">
        <v>0</v>
      </c>
      <c r="D800" s="9">
        <v>0</v>
      </c>
      <c r="E800" s="532"/>
      <c r="F800" s="532"/>
      <c r="G800" s="126"/>
      <c r="H800" s="130"/>
      <c r="I800" s="130"/>
      <c r="J800" s="568"/>
      <c r="K800" s="21"/>
    </row>
    <row r="801" spans="1:11" s="2" customFormat="1" ht="30" customHeight="1" x14ac:dyDescent="0.3">
      <c r="A801" s="23"/>
      <c r="B801" s="22" t="s">
        <v>5</v>
      </c>
      <c r="C801" s="9">
        <v>0</v>
      </c>
      <c r="D801" s="9">
        <v>0</v>
      </c>
      <c r="E801" s="532"/>
      <c r="F801" s="532"/>
      <c r="G801" s="126"/>
      <c r="H801" s="130"/>
      <c r="I801" s="130"/>
      <c r="J801" s="568"/>
      <c r="K801" s="21"/>
    </row>
    <row r="802" spans="1:11" s="2" customFormat="1" ht="30" customHeight="1" x14ac:dyDescent="0.3">
      <c r="A802" s="23"/>
      <c r="B802" s="22" t="s">
        <v>4</v>
      </c>
      <c r="C802" s="9">
        <v>0</v>
      </c>
      <c r="D802" s="9">
        <v>0</v>
      </c>
      <c r="E802" s="532"/>
      <c r="F802" s="532"/>
      <c r="G802" s="126"/>
      <c r="H802" s="130"/>
      <c r="I802" s="130"/>
      <c r="J802" s="568"/>
      <c r="K802" s="21"/>
    </row>
    <row r="803" spans="1:11" s="2" customFormat="1" ht="30" customHeight="1" x14ac:dyDescent="0.3">
      <c r="A803" s="23"/>
      <c r="B803" s="278" t="s">
        <v>923</v>
      </c>
      <c r="C803" s="9">
        <v>0</v>
      </c>
      <c r="D803" s="9">
        <f>(14375.24+2536.76)</f>
        <v>16912</v>
      </c>
      <c r="E803" s="532"/>
      <c r="F803" s="532"/>
      <c r="G803" s="126"/>
      <c r="H803" s="130"/>
      <c r="I803" s="130"/>
      <c r="J803" s="568"/>
      <c r="K803" s="21"/>
    </row>
    <row r="804" spans="1:11" s="2" customFormat="1" ht="30" customHeight="1" x14ac:dyDescent="0.3">
      <c r="A804" s="23"/>
      <c r="B804" s="22" t="s">
        <v>881</v>
      </c>
      <c r="C804" s="9">
        <v>0</v>
      </c>
      <c r="D804" s="9">
        <v>5719</v>
      </c>
      <c r="E804" s="532"/>
      <c r="F804" s="532"/>
      <c r="G804" s="126"/>
      <c r="H804" s="130"/>
      <c r="I804" s="130"/>
      <c r="J804" s="568"/>
      <c r="K804" s="21"/>
    </row>
    <row r="805" spans="1:11" s="2" customFormat="1" ht="30" customHeight="1" x14ac:dyDescent="0.3">
      <c r="A805" s="23"/>
      <c r="B805" s="22" t="s">
        <v>895</v>
      </c>
      <c r="C805" s="9">
        <v>0</v>
      </c>
      <c r="D805" s="9">
        <v>14168.64</v>
      </c>
      <c r="E805" s="532"/>
      <c r="F805" s="532"/>
      <c r="G805" s="126"/>
      <c r="H805" s="130"/>
      <c r="I805" s="130"/>
      <c r="J805" s="568"/>
      <c r="K805" s="21"/>
    </row>
    <row r="806" spans="1:11" s="17" customFormat="1" ht="30" customHeight="1" x14ac:dyDescent="0.25">
      <c r="A806" s="20">
        <v>6409</v>
      </c>
      <c r="B806" s="19" t="s">
        <v>3</v>
      </c>
      <c r="C806" s="18">
        <f>SUM(C807:C808)</f>
        <v>1305000</v>
      </c>
      <c r="D806" s="18">
        <f>SUM(D807:D808)</f>
        <v>15953804.25</v>
      </c>
      <c r="E806" s="549"/>
      <c r="F806" s="496"/>
      <c r="G806" s="120"/>
      <c r="H806" s="121"/>
      <c r="I806" s="549"/>
      <c r="J806" s="568"/>
    </row>
    <row r="807" spans="1:11" s="3" customFormat="1" ht="30" customHeight="1" x14ac:dyDescent="0.2">
      <c r="A807" s="16"/>
      <c r="B807" s="15" t="s">
        <v>2</v>
      </c>
      <c r="C807" s="9">
        <v>1000000</v>
      </c>
      <c r="D807" s="9">
        <f>1000000+1037625.27+800-5719+2888353.24-133544.53+240528.48-263145.58+51405.97-133612-74168.64+2168620-500000-79385-267145-213939-2000000+(-100000-100000)+(-50000-50000)+1380+84689.93+1267+150000-500000+(2000000+1000000+300000)+8000000+1026933.11+167860</f>
        <v>15648804.25</v>
      </c>
      <c r="E807" s="532"/>
      <c r="F807" s="532"/>
      <c r="G807" s="126"/>
      <c r="H807" s="130"/>
      <c r="I807" s="130"/>
      <c r="J807" s="568"/>
    </row>
    <row r="808" spans="1:11" s="3" customFormat="1" ht="37.5" thickBot="1" x14ac:dyDescent="0.25">
      <c r="A808" s="13"/>
      <c r="B808" s="12" t="s">
        <v>1</v>
      </c>
      <c r="C808" s="9">
        <f>(5+80+50+80+30+5+60)*1000-5000</f>
        <v>305000</v>
      </c>
      <c r="D808" s="9">
        <f>(5+80+50+80+30+5+60)*1000-5000</f>
        <v>305000</v>
      </c>
      <c r="E808" s="532"/>
      <c r="F808" s="532"/>
      <c r="G808" s="126"/>
      <c r="H808" s="130"/>
      <c r="I808" s="117"/>
      <c r="J808" s="574"/>
    </row>
    <row r="809" spans="1:11" s="3" customFormat="1" ht="30" customHeight="1" thickBot="1" x14ac:dyDescent="0.4">
      <c r="A809" s="8"/>
      <c r="B809" s="7" t="s">
        <v>0</v>
      </c>
      <c r="C809" s="557">
        <f>SUM(C268+C329+C421+C426+C432+C441+C445+C448+C535+C539+C556+C565+C602+C608+C634+C774+C785)</f>
        <v>902306516.75</v>
      </c>
      <c r="D809" s="557">
        <f>SUM(D268+D329+D421+D426+D432+D441+D445+D448+D535+D539+D556+D565+D602+D608+D634+D774+D785)</f>
        <v>909527450.50999987</v>
      </c>
      <c r="E809" s="593"/>
      <c r="F809" s="558"/>
      <c r="G809" s="181"/>
      <c r="H809" s="181"/>
      <c r="I809" s="181"/>
      <c r="J809" s="568"/>
    </row>
    <row r="810" spans="1:11" x14ac:dyDescent="0.2">
      <c r="B810" s="5"/>
    </row>
    <row r="811" spans="1:11" x14ac:dyDescent="0.2">
      <c r="B811" s="4"/>
    </row>
    <row r="812" spans="1:11" s="3" customFormat="1" x14ac:dyDescent="0.2">
      <c r="A812" s="1"/>
      <c r="B812" s="1"/>
      <c r="C812" s="1"/>
      <c r="D812" s="1"/>
      <c r="E812" s="1"/>
      <c r="F812" s="2"/>
      <c r="G812" s="1"/>
      <c r="H812" s="1"/>
      <c r="I812" s="1"/>
      <c r="J812" s="1"/>
    </row>
    <row r="813" spans="1:11" s="3" customFormat="1" x14ac:dyDescent="0.2">
      <c r="A813" s="1"/>
      <c r="B813" s="1"/>
      <c r="C813" s="1"/>
      <c r="D813" s="1"/>
      <c r="E813" s="1"/>
      <c r="F813" s="2"/>
      <c r="G813" s="1"/>
      <c r="H813" s="1"/>
      <c r="I813" s="1"/>
      <c r="J813" s="1"/>
    </row>
  </sheetData>
  <printOptions horizontalCentered="1"/>
  <pageMargins left="0" right="0" top="0.39370078740157483" bottom="0.39370078740157483" header="0" footer="0"/>
  <pageSetup paperSize="9" scale="70" fitToHeight="0" orientation="landscape" r:id="rId1"/>
  <headerFooter alignWithMargins="0">
    <oddFooter>&amp;C&amp;P</oddFooter>
  </headerFooter>
  <rowBreaks count="2" manualBreakCount="2">
    <brk id="49" max="6" man="1"/>
    <brk id="265" max="16383" man="1"/>
  </row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7"/>
  <sheetViews>
    <sheetView topLeftCell="A76" workbookViewId="0">
      <selection activeCell="G99" sqref="G99:I99"/>
    </sheetView>
  </sheetViews>
  <sheetFormatPr defaultRowHeight="15" x14ac:dyDescent="0.2"/>
  <cols>
    <col min="2" max="3" width="8.28515625" customWidth="1"/>
    <col min="4" max="4" width="5" customWidth="1"/>
    <col min="5" max="5" width="8.28515625" customWidth="1"/>
    <col min="6" max="6" width="16.7109375" customWidth="1"/>
    <col min="7" max="7" width="17.7109375" style="595" customWidth="1"/>
    <col min="8" max="8" width="4.7109375" style="596" customWidth="1"/>
    <col min="9" max="9" width="16.85546875" customWidth="1"/>
    <col min="10" max="10" width="1.5703125" customWidth="1"/>
    <col min="11" max="11" width="14.5703125" customWidth="1"/>
    <col min="12" max="12" width="17.7109375" customWidth="1"/>
    <col min="258" max="259" width="8.28515625" customWidth="1"/>
    <col min="260" max="260" width="5" customWidth="1"/>
    <col min="261" max="261" width="8.28515625" customWidth="1"/>
    <col min="262" max="262" width="16.7109375" customWidth="1"/>
    <col min="263" max="263" width="17.7109375" customWidth="1"/>
    <col min="264" max="264" width="4.7109375" customWidth="1"/>
    <col min="265" max="265" width="16.85546875" customWidth="1"/>
    <col min="266" max="266" width="1.5703125" customWidth="1"/>
    <col min="267" max="267" width="14.5703125" customWidth="1"/>
    <col min="268" max="268" width="17.7109375" customWidth="1"/>
    <col min="514" max="515" width="8.28515625" customWidth="1"/>
    <col min="516" max="516" width="5" customWidth="1"/>
    <col min="517" max="517" width="8.28515625" customWidth="1"/>
    <col min="518" max="518" width="16.7109375" customWidth="1"/>
    <col min="519" max="519" width="17.7109375" customWidth="1"/>
    <col min="520" max="520" width="4.7109375" customWidth="1"/>
    <col min="521" max="521" width="16.85546875" customWidth="1"/>
    <col min="522" max="522" width="1.5703125" customWidth="1"/>
    <col min="523" max="523" width="14.5703125" customWidth="1"/>
    <col min="524" max="524" width="17.7109375" customWidth="1"/>
    <col min="770" max="771" width="8.28515625" customWidth="1"/>
    <col min="772" max="772" width="5" customWidth="1"/>
    <col min="773" max="773" width="8.28515625" customWidth="1"/>
    <col min="774" max="774" width="16.7109375" customWidth="1"/>
    <col min="775" max="775" width="17.7109375" customWidth="1"/>
    <col min="776" max="776" width="4.7109375" customWidth="1"/>
    <col min="777" max="777" width="16.85546875" customWidth="1"/>
    <col min="778" max="778" width="1.5703125" customWidth="1"/>
    <col min="779" max="779" width="14.5703125" customWidth="1"/>
    <col min="780" max="780" width="17.7109375" customWidth="1"/>
    <col min="1026" max="1027" width="8.28515625" customWidth="1"/>
    <col min="1028" max="1028" width="5" customWidth="1"/>
    <col min="1029" max="1029" width="8.28515625" customWidth="1"/>
    <col min="1030" max="1030" width="16.7109375" customWidth="1"/>
    <col min="1031" max="1031" width="17.7109375" customWidth="1"/>
    <col min="1032" max="1032" width="4.7109375" customWidth="1"/>
    <col min="1033" max="1033" width="16.85546875" customWidth="1"/>
    <col min="1034" max="1034" width="1.5703125" customWidth="1"/>
    <col min="1035" max="1035" width="14.5703125" customWidth="1"/>
    <col min="1036" max="1036" width="17.7109375" customWidth="1"/>
    <col min="1282" max="1283" width="8.28515625" customWidth="1"/>
    <col min="1284" max="1284" width="5" customWidth="1"/>
    <col min="1285" max="1285" width="8.28515625" customWidth="1"/>
    <col min="1286" max="1286" width="16.7109375" customWidth="1"/>
    <col min="1287" max="1287" width="17.7109375" customWidth="1"/>
    <col min="1288" max="1288" width="4.7109375" customWidth="1"/>
    <col min="1289" max="1289" width="16.85546875" customWidth="1"/>
    <col min="1290" max="1290" width="1.5703125" customWidth="1"/>
    <col min="1291" max="1291" width="14.5703125" customWidth="1"/>
    <col min="1292" max="1292" width="17.7109375" customWidth="1"/>
    <col min="1538" max="1539" width="8.28515625" customWidth="1"/>
    <col min="1540" max="1540" width="5" customWidth="1"/>
    <col min="1541" max="1541" width="8.28515625" customWidth="1"/>
    <col min="1542" max="1542" width="16.7109375" customWidth="1"/>
    <col min="1543" max="1543" width="17.7109375" customWidth="1"/>
    <col min="1544" max="1544" width="4.7109375" customWidth="1"/>
    <col min="1545" max="1545" width="16.85546875" customWidth="1"/>
    <col min="1546" max="1546" width="1.5703125" customWidth="1"/>
    <col min="1547" max="1547" width="14.5703125" customWidth="1"/>
    <col min="1548" max="1548" width="17.7109375" customWidth="1"/>
    <col min="1794" max="1795" width="8.28515625" customWidth="1"/>
    <col min="1796" max="1796" width="5" customWidth="1"/>
    <col min="1797" max="1797" width="8.28515625" customWidth="1"/>
    <col min="1798" max="1798" width="16.7109375" customWidth="1"/>
    <col min="1799" max="1799" width="17.7109375" customWidth="1"/>
    <col min="1800" max="1800" width="4.7109375" customWidth="1"/>
    <col min="1801" max="1801" width="16.85546875" customWidth="1"/>
    <col min="1802" max="1802" width="1.5703125" customWidth="1"/>
    <col min="1803" max="1803" width="14.5703125" customWidth="1"/>
    <col min="1804" max="1804" width="17.7109375" customWidth="1"/>
    <col min="2050" max="2051" width="8.28515625" customWidth="1"/>
    <col min="2052" max="2052" width="5" customWidth="1"/>
    <col min="2053" max="2053" width="8.28515625" customWidth="1"/>
    <col min="2054" max="2054" width="16.7109375" customWidth="1"/>
    <col min="2055" max="2055" width="17.7109375" customWidth="1"/>
    <col min="2056" max="2056" width="4.7109375" customWidth="1"/>
    <col min="2057" max="2057" width="16.85546875" customWidth="1"/>
    <col min="2058" max="2058" width="1.5703125" customWidth="1"/>
    <col min="2059" max="2059" width="14.5703125" customWidth="1"/>
    <col min="2060" max="2060" width="17.7109375" customWidth="1"/>
    <col min="2306" max="2307" width="8.28515625" customWidth="1"/>
    <col min="2308" max="2308" width="5" customWidth="1"/>
    <col min="2309" max="2309" width="8.28515625" customWidth="1"/>
    <col min="2310" max="2310" width="16.7109375" customWidth="1"/>
    <col min="2311" max="2311" width="17.7109375" customWidth="1"/>
    <col min="2312" max="2312" width="4.7109375" customWidth="1"/>
    <col min="2313" max="2313" width="16.85546875" customWidth="1"/>
    <col min="2314" max="2314" width="1.5703125" customWidth="1"/>
    <col min="2315" max="2315" width="14.5703125" customWidth="1"/>
    <col min="2316" max="2316" width="17.7109375" customWidth="1"/>
    <col min="2562" max="2563" width="8.28515625" customWidth="1"/>
    <col min="2564" max="2564" width="5" customWidth="1"/>
    <col min="2565" max="2565" width="8.28515625" customWidth="1"/>
    <col min="2566" max="2566" width="16.7109375" customWidth="1"/>
    <col min="2567" max="2567" width="17.7109375" customWidth="1"/>
    <col min="2568" max="2568" width="4.7109375" customWidth="1"/>
    <col min="2569" max="2569" width="16.85546875" customWidth="1"/>
    <col min="2570" max="2570" width="1.5703125" customWidth="1"/>
    <col min="2571" max="2571" width="14.5703125" customWidth="1"/>
    <col min="2572" max="2572" width="17.7109375" customWidth="1"/>
    <col min="2818" max="2819" width="8.28515625" customWidth="1"/>
    <col min="2820" max="2820" width="5" customWidth="1"/>
    <col min="2821" max="2821" width="8.28515625" customWidth="1"/>
    <col min="2822" max="2822" width="16.7109375" customWidth="1"/>
    <col min="2823" max="2823" width="17.7109375" customWidth="1"/>
    <col min="2824" max="2824" width="4.7109375" customWidth="1"/>
    <col min="2825" max="2825" width="16.85546875" customWidth="1"/>
    <col min="2826" max="2826" width="1.5703125" customWidth="1"/>
    <col min="2827" max="2827" width="14.5703125" customWidth="1"/>
    <col min="2828" max="2828" width="17.7109375" customWidth="1"/>
    <col min="3074" max="3075" width="8.28515625" customWidth="1"/>
    <col min="3076" max="3076" width="5" customWidth="1"/>
    <col min="3077" max="3077" width="8.28515625" customWidth="1"/>
    <col min="3078" max="3078" width="16.7109375" customWidth="1"/>
    <col min="3079" max="3079" width="17.7109375" customWidth="1"/>
    <col min="3080" max="3080" width="4.7109375" customWidth="1"/>
    <col min="3081" max="3081" width="16.85546875" customWidth="1"/>
    <col min="3082" max="3082" width="1.5703125" customWidth="1"/>
    <col min="3083" max="3083" width="14.5703125" customWidth="1"/>
    <col min="3084" max="3084" width="17.7109375" customWidth="1"/>
    <col min="3330" max="3331" width="8.28515625" customWidth="1"/>
    <col min="3332" max="3332" width="5" customWidth="1"/>
    <col min="3333" max="3333" width="8.28515625" customWidth="1"/>
    <col min="3334" max="3334" width="16.7109375" customWidth="1"/>
    <col min="3335" max="3335" width="17.7109375" customWidth="1"/>
    <col min="3336" max="3336" width="4.7109375" customWidth="1"/>
    <col min="3337" max="3337" width="16.85546875" customWidth="1"/>
    <col min="3338" max="3338" width="1.5703125" customWidth="1"/>
    <col min="3339" max="3339" width="14.5703125" customWidth="1"/>
    <col min="3340" max="3340" width="17.7109375" customWidth="1"/>
    <col min="3586" max="3587" width="8.28515625" customWidth="1"/>
    <col min="3588" max="3588" width="5" customWidth="1"/>
    <col min="3589" max="3589" width="8.28515625" customWidth="1"/>
    <col min="3590" max="3590" width="16.7109375" customWidth="1"/>
    <col min="3591" max="3591" width="17.7109375" customWidth="1"/>
    <col min="3592" max="3592" width="4.7109375" customWidth="1"/>
    <col min="3593" max="3593" width="16.85546875" customWidth="1"/>
    <col min="3594" max="3594" width="1.5703125" customWidth="1"/>
    <col min="3595" max="3595" width="14.5703125" customWidth="1"/>
    <col min="3596" max="3596" width="17.7109375" customWidth="1"/>
    <col min="3842" max="3843" width="8.28515625" customWidth="1"/>
    <col min="3844" max="3844" width="5" customWidth="1"/>
    <col min="3845" max="3845" width="8.28515625" customWidth="1"/>
    <col min="3846" max="3846" width="16.7109375" customWidth="1"/>
    <col min="3847" max="3847" width="17.7109375" customWidth="1"/>
    <col min="3848" max="3848" width="4.7109375" customWidth="1"/>
    <col min="3849" max="3849" width="16.85546875" customWidth="1"/>
    <col min="3850" max="3850" width="1.5703125" customWidth="1"/>
    <col min="3851" max="3851" width="14.5703125" customWidth="1"/>
    <col min="3852" max="3852" width="17.7109375" customWidth="1"/>
    <col min="4098" max="4099" width="8.28515625" customWidth="1"/>
    <col min="4100" max="4100" width="5" customWidth="1"/>
    <col min="4101" max="4101" width="8.28515625" customWidth="1"/>
    <col min="4102" max="4102" width="16.7109375" customWidth="1"/>
    <col min="4103" max="4103" width="17.7109375" customWidth="1"/>
    <col min="4104" max="4104" width="4.7109375" customWidth="1"/>
    <col min="4105" max="4105" width="16.85546875" customWidth="1"/>
    <col min="4106" max="4106" width="1.5703125" customWidth="1"/>
    <col min="4107" max="4107" width="14.5703125" customWidth="1"/>
    <col min="4108" max="4108" width="17.7109375" customWidth="1"/>
    <col min="4354" max="4355" width="8.28515625" customWidth="1"/>
    <col min="4356" max="4356" width="5" customWidth="1"/>
    <col min="4357" max="4357" width="8.28515625" customWidth="1"/>
    <col min="4358" max="4358" width="16.7109375" customWidth="1"/>
    <col min="4359" max="4359" width="17.7109375" customWidth="1"/>
    <col min="4360" max="4360" width="4.7109375" customWidth="1"/>
    <col min="4361" max="4361" width="16.85546875" customWidth="1"/>
    <col min="4362" max="4362" width="1.5703125" customWidth="1"/>
    <col min="4363" max="4363" width="14.5703125" customWidth="1"/>
    <col min="4364" max="4364" width="17.7109375" customWidth="1"/>
    <col min="4610" max="4611" width="8.28515625" customWidth="1"/>
    <col min="4612" max="4612" width="5" customWidth="1"/>
    <col min="4613" max="4613" width="8.28515625" customWidth="1"/>
    <col min="4614" max="4614" width="16.7109375" customWidth="1"/>
    <col min="4615" max="4615" width="17.7109375" customWidth="1"/>
    <col min="4616" max="4616" width="4.7109375" customWidth="1"/>
    <col min="4617" max="4617" width="16.85546875" customWidth="1"/>
    <col min="4618" max="4618" width="1.5703125" customWidth="1"/>
    <col min="4619" max="4619" width="14.5703125" customWidth="1"/>
    <col min="4620" max="4620" width="17.7109375" customWidth="1"/>
    <col min="4866" max="4867" width="8.28515625" customWidth="1"/>
    <col min="4868" max="4868" width="5" customWidth="1"/>
    <col min="4869" max="4869" width="8.28515625" customWidth="1"/>
    <col min="4870" max="4870" width="16.7109375" customWidth="1"/>
    <col min="4871" max="4871" width="17.7109375" customWidth="1"/>
    <col min="4872" max="4872" width="4.7109375" customWidth="1"/>
    <col min="4873" max="4873" width="16.85546875" customWidth="1"/>
    <col min="4874" max="4874" width="1.5703125" customWidth="1"/>
    <col min="4875" max="4875" width="14.5703125" customWidth="1"/>
    <col min="4876" max="4876" width="17.7109375" customWidth="1"/>
    <col min="5122" max="5123" width="8.28515625" customWidth="1"/>
    <col min="5124" max="5124" width="5" customWidth="1"/>
    <col min="5125" max="5125" width="8.28515625" customWidth="1"/>
    <col min="5126" max="5126" width="16.7109375" customWidth="1"/>
    <col min="5127" max="5127" width="17.7109375" customWidth="1"/>
    <col min="5128" max="5128" width="4.7109375" customWidth="1"/>
    <col min="5129" max="5129" width="16.85546875" customWidth="1"/>
    <col min="5130" max="5130" width="1.5703125" customWidth="1"/>
    <col min="5131" max="5131" width="14.5703125" customWidth="1"/>
    <col min="5132" max="5132" width="17.7109375" customWidth="1"/>
    <col min="5378" max="5379" width="8.28515625" customWidth="1"/>
    <col min="5380" max="5380" width="5" customWidth="1"/>
    <col min="5381" max="5381" width="8.28515625" customWidth="1"/>
    <col min="5382" max="5382" width="16.7109375" customWidth="1"/>
    <col min="5383" max="5383" width="17.7109375" customWidth="1"/>
    <col min="5384" max="5384" width="4.7109375" customWidth="1"/>
    <col min="5385" max="5385" width="16.85546875" customWidth="1"/>
    <col min="5386" max="5386" width="1.5703125" customWidth="1"/>
    <col min="5387" max="5387" width="14.5703125" customWidth="1"/>
    <col min="5388" max="5388" width="17.7109375" customWidth="1"/>
    <col min="5634" max="5635" width="8.28515625" customWidth="1"/>
    <col min="5636" max="5636" width="5" customWidth="1"/>
    <col min="5637" max="5637" width="8.28515625" customWidth="1"/>
    <col min="5638" max="5638" width="16.7109375" customWidth="1"/>
    <col min="5639" max="5639" width="17.7109375" customWidth="1"/>
    <col min="5640" max="5640" width="4.7109375" customWidth="1"/>
    <col min="5641" max="5641" width="16.85546875" customWidth="1"/>
    <col min="5642" max="5642" width="1.5703125" customWidth="1"/>
    <col min="5643" max="5643" width="14.5703125" customWidth="1"/>
    <col min="5644" max="5644" width="17.7109375" customWidth="1"/>
    <col min="5890" max="5891" width="8.28515625" customWidth="1"/>
    <col min="5892" max="5892" width="5" customWidth="1"/>
    <col min="5893" max="5893" width="8.28515625" customWidth="1"/>
    <col min="5894" max="5894" width="16.7109375" customWidth="1"/>
    <col min="5895" max="5895" width="17.7109375" customWidth="1"/>
    <col min="5896" max="5896" width="4.7109375" customWidth="1"/>
    <col min="5897" max="5897" width="16.85546875" customWidth="1"/>
    <col min="5898" max="5898" width="1.5703125" customWidth="1"/>
    <col min="5899" max="5899" width="14.5703125" customWidth="1"/>
    <col min="5900" max="5900" width="17.7109375" customWidth="1"/>
    <col min="6146" max="6147" width="8.28515625" customWidth="1"/>
    <col min="6148" max="6148" width="5" customWidth="1"/>
    <col min="6149" max="6149" width="8.28515625" customWidth="1"/>
    <col min="6150" max="6150" width="16.7109375" customWidth="1"/>
    <col min="6151" max="6151" width="17.7109375" customWidth="1"/>
    <col min="6152" max="6152" width="4.7109375" customWidth="1"/>
    <col min="6153" max="6153" width="16.85546875" customWidth="1"/>
    <col min="6154" max="6154" width="1.5703125" customWidth="1"/>
    <col min="6155" max="6155" width="14.5703125" customWidth="1"/>
    <col min="6156" max="6156" width="17.7109375" customWidth="1"/>
    <col min="6402" max="6403" width="8.28515625" customWidth="1"/>
    <col min="6404" max="6404" width="5" customWidth="1"/>
    <col min="6405" max="6405" width="8.28515625" customWidth="1"/>
    <col min="6406" max="6406" width="16.7109375" customWidth="1"/>
    <col min="6407" max="6407" width="17.7109375" customWidth="1"/>
    <col min="6408" max="6408" width="4.7109375" customWidth="1"/>
    <col min="6409" max="6409" width="16.85546875" customWidth="1"/>
    <col min="6410" max="6410" width="1.5703125" customWidth="1"/>
    <col min="6411" max="6411" width="14.5703125" customWidth="1"/>
    <col min="6412" max="6412" width="17.7109375" customWidth="1"/>
    <col min="6658" max="6659" width="8.28515625" customWidth="1"/>
    <col min="6660" max="6660" width="5" customWidth="1"/>
    <col min="6661" max="6661" width="8.28515625" customWidth="1"/>
    <col min="6662" max="6662" width="16.7109375" customWidth="1"/>
    <col min="6663" max="6663" width="17.7109375" customWidth="1"/>
    <col min="6664" max="6664" width="4.7109375" customWidth="1"/>
    <col min="6665" max="6665" width="16.85546875" customWidth="1"/>
    <col min="6666" max="6666" width="1.5703125" customWidth="1"/>
    <col min="6667" max="6667" width="14.5703125" customWidth="1"/>
    <col min="6668" max="6668" width="17.7109375" customWidth="1"/>
    <col min="6914" max="6915" width="8.28515625" customWidth="1"/>
    <col min="6916" max="6916" width="5" customWidth="1"/>
    <col min="6917" max="6917" width="8.28515625" customWidth="1"/>
    <col min="6918" max="6918" width="16.7109375" customWidth="1"/>
    <col min="6919" max="6919" width="17.7109375" customWidth="1"/>
    <col min="6920" max="6920" width="4.7109375" customWidth="1"/>
    <col min="6921" max="6921" width="16.85546875" customWidth="1"/>
    <col min="6922" max="6922" width="1.5703125" customWidth="1"/>
    <col min="6923" max="6923" width="14.5703125" customWidth="1"/>
    <col min="6924" max="6924" width="17.7109375" customWidth="1"/>
    <col min="7170" max="7171" width="8.28515625" customWidth="1"/>
    <col min="7172" max="7172" width="5" customWidth="1"/>
    <col min="7173" max="7173" width="8.28515625" customWidth="1"/>
    <col min="7174" max="7174" width="16.7109375" customWidth="1"/>
    <col min="7175" max="7175" width="17.7109375" customWidth="1"/>
    <col min="7176" max="7176" width="4.7109375" customWidth="1"/>
    <col min="7177" max="7177" width="16.85546875" customWidth="1"/>
    <col min="7178" max="7178" width="1.5703125" customWidth="1"/>
    <col min="7179" max="7179" width="14.5703125" customWidth="1"/>
    <col min="7180" max="7180" width="17.7109375" customWidth="1"/>
    <col min="7426" max="7427" width="8.28515625" customWidth="1"/>
    <col min="7428" max="7428" width="5" customWidth="1"/>
    <col min="7429" max="7429" width="8.28515625" customWidth="1"/>
    <col min="7430" max="7430" width="16.7109375" customWidth="1"/>
    <col min="7431" max="7431" width="17.7109375" customWidth="1"/>
    <col min="7432" max="7432" width="4.7109375" customWidth="1"/>
    <col min="7433" max="7433" width="16.85546875" customWidth="1"/>
    <col min="7434" max="7434" width="1.5703125" customWidth="1"/>
    <col min="7435" max="7435" width="14.5703125" customWidth="1"/>
    <col min="7436" max="7436" width="17.7109375" customWidth="1"/>
    <col min="7682" max="7683" width="8.28515625" customWidth="1"/>
    <col min="7684" max="7684" width="5" customWidth="1"/>
    <col min="7685" max="7685" width="8.28515625" customWidth="1"/>
    <col min="7686" max="7686" width="16.7109375" customWidth="1"/>
    <col min="7687" max="7687" width="17.7109375" customWidth="1"/>
    <col min="7688" max="7688" width="4.7109375" customWidth="1"/>
    <col min="7689" max="7689" width="16.85546875" customWidth="1"/>
    <col min="7690" max="7690" width="1.5703125" customWidth="1"/>
    <col min="7691" max="7691" width="14.5703125" customWidth="1"/>
    <col min="7692" max="7692" width="17.7109375" customWidth="1"/>
    <col min="7938" max="7939" width="8.28515625" customWidth="1"/>
    <col min="7940" max="7940" width="5" customWidth="1"/>
    <col min="7941" max="7941" width="8.28515625" customWidth="1"/>
    <col min="7942" max="7942" width="16.7109375" customWidth="1"/>
    <col min="7943" max="7943" width="17.7109375" customWidth="1"/>
    <col min="7944" max="7944" width="4.7109375" customWidth="1"/>
    <col min="7945" max="7945" width="16.85546875" customWidth="1"/>
    <col min="7946" max="7946" width="1.5703125" customWidth="1"/>
    <col min="7947" max="7947" width="14.5703125" customWidth="1"/>
    <col min="7948" max="7948" width="17.7109375" customWidth="1"/>
    <col min="8194" max="8195" width="8.28515625" customWidth="1"/>
    <col min="8196" max="8196" width="5" customWidth="1"/>
    <col min="8197" max="8197" width="8.28515625" customWidth="1"/>
    <col min="8198" max="8198" width="16.7109375" customWidth="1"/>
    <col min="8199" max="8199" width="17.7109375" customWidth="1"/>
    <col min="8200" max="8200" width="4.7109375" customWidth="1"/>
    <col min="8201" max="8201" width="16.85546875" customWidth="1"/>
    <col min="8202" max="8202" width="1.5703125" customWidth="1"/>
    <col min="8203" max="8203" width="14.5703125" customWidth="1"/>
    <col min="8204" max="8204" width="17.7109375" customWidth="1"/>
    <col min="8450" max="8451" width="8.28515625" customWidth="1"/>
    <col min="8452" max="8452" width="5" customWidth="1"/>
    <col min="8453" max="8453" width="8.28515625" customWidth="1"/>
    <col min="8454" max="8454" width="16.7109375" customWidth="1"/>
    <col min="8455" max="8455" width="17.7109375" customWidth="1"/>
    <col min="8456" max="8456" width="4.7109375" customWidth="1"/>
    <col min="8457" max="8457" width="16.85546875" customWidth="1"/>
    <col min="8458" max="8458" width="1.5703125" customWidth="1"/>
    <col min="8459" max="8459" width="14.5703125" customWidth="1"/>
    <col min="8460" max="8460" width="17.7109375" customWidth="1"/>
    <col min="8706" max="8707" width="8.28515625" customWidth="1"/>
    <col min="8708" max="8708" width="5" customWidth="1"/>
    <col min="8709" max="8709" width="8.28515625" customWidth="1"/>
    <col min="8710" max="8710" width="16.7109375" customWidth="1"/>
    <col min="8711" max="8711" width="17.7109375" customWidth="1"/>
    <col min="8712" max="8712" width="4.7109375" customWidth="1"/>
    <col min="8713" max="8713" width="16.85546875" customWidth="1"/>
    <col min="8714" max="8714" width="1.5703125" customWidth="1"/>
    <col min="8715" max="8715" width="14.5703125" customWidth="1"/>
    <col min="8716" max="8716" width="17.7109375" customWidth="1"/>
    <col min="8962" max="8963" width="8.28515625" customWidth="1"/>
    <col min="8964" max="8964" width="5" customWidth="1"/>
    <col min="8965" max="8965" width="8.28515625" customWidth="1"/>
    <col min="8966" max="8966" width="16.7109375" customWidth="1"/>
    <col min="8967" max="8967" width="17.7109375" customWidth="1"/>
    <col min="8968" max="8968" width="4.7109375" customWidth="1"/>
    <col min="8969" max="8969" width="16.85546875" customWidth="1"/>
    <col min="8970" max="8970" width="1.5703125" customWidth="1"/>
    <col min="8971" max="8971" width="14.5703125" customWidth="1"/>
    <col min="8972" max="8972" width="17.7109375" customWidth="1"/>
    <col min="9218" max="9219" width="8.28515625" customWidth="1"/>
    <col min="9220" max="9220" width="5" customWidth="1"/>
    <col min="9221" max="9221" width="8.28515625" customWidth="1"/>
    <col min="9222" max="9222" width="16.7109375" customWidth="1"/>
    <col min="9223" max="9223" width="17.7109375" customWidth="1"/>
    <col min="9224" max="9224" width="4.7109375" customWidth="1"/>
    <col min="9225" max="9225" width="16.85546875" customWidth="1"/>
    <col min="9226" max="9226" width="1.5703125" customWidth="1"/>
    <col min="9227" max="9227" width="14.5703125" customWidth="1"/>
    <col min="9228" max="9228" width="17.7109375" customWidth="1"/>
    <col min="9474" max="9475" width="8.28515625" customWidth="1"/>
    <col min="9476" max="9476" width="5" customWidth="1"/>
    <col min="9477" max="9477" width="8.28515625" customWidth="1"/>
    <col min="9478" max="9478" width="16.7109375" customWidth="1"/>
    <col min="9479" max="9479" width="17.7109375" customWidth="1"/>
    <col min="9480" max="9480" width="4.7109375" customWidth="1"/>
    <col min="9481" max="9481" width="16.85546875" customWidth="1"/>
    <col min="9482" max="9482" width="1.5703125" customWidth="1"/>
    <col min="9483" max="9483" width="14.5703125" customWidth="1"/>
    <col min="9484" max="9484" width="17.7109375" customWidth="1"/>
    <col min="9730" max="9731" width="8.28515625" customWidth="1"/>
    <col min="9732" max="9732" width="5" customWidth="1"/>
    <col min="9733" max="9733" width="8.28515625" customWidth="1"/>
    <col min="9734" max="9734" width="16.7109375" customWidth="1"/>
    <col min="9735" max="9735" width="17.7109375" customWidth="1"/>
    <col min="9736" max="9736" width="4.7109375" customWidth="1"/>
    <col min="9737" max="9737" width="16.85546875" customWidth="1"/>
    <col min="9738" max="9738" width="1.5703125" customWidth="1"/>
    <col min="9739" max="9739" width="14.5703125" customWidth="1"/>
    <col min="9740" max="9740" width="17.7109375" customWidth="1"/>
    <col min="9986" max="9987" width="8.28515625" customWidth="1"/>
    <col min="9988" max="9988" width="5" customWidth="1"/>
    <col min="9989" max="9989" width="8.28515625" customWidth="1"/>
    <col min="9990" max="9990" width="16.7109375" customWidth="1"/>
    <col min="9991" max="9991" width="17.7109375" customWidth="1"/>
    <col min="9992" max="9992" width="4.7109375" customWidth="1"/>
    <col min="9993" max="9993" width="16.85546875" customWidth="1"/>
    <col min="9994" max="9994" width="1.5703125" customWidth="1"/>
    <col min="9995" max="9995" width="14.5703125" customWidth="1"/>
    <col min="9996" max="9996" width="17.7109375" customWidth="1"/>
    <col min="10242" max="10243" width="8.28515625" customWidth="1"/>
    <col min="10244" max="10244" width="5" customWidth="1"/>
    <col min="10245" max="10245" width="8.28515625" customWidth="1"/>
    <col min="10246" max="10246" width="16.7109375" customWidth="1"/>
    <col min="10247" max="10247" width="17.7109375" customWidth="1"/>
    <col min="10248" max="10248" width="4.7109375" customWidth="1"/>
    <col min="10249" max="10249" width="16.85546875" customWidth="1"/>
    <col min="10250" max="10250" width="1.5703125" customWidth="1"/>
    <col min="10251" max="10251" width="14.5703125" customWidth="1"/>
    <col min="10252" max="10252" width="17.7109375" customWidth="1"/>
    <col min="10498" max="10499" width="8.28515625" customWidth="1"/>
    <col min="10500" max="10500" width="5" customWidth="1"/>
    <col min="10501" max="10501" width="8.28515625" customWidth="1"/>
    <col min="10502" max="10502" width="16.7109375" customWidth="1"/>
    <col min="10503" max="10503" width="17.7109375" customWidth="1"/>
    <col min="10504" max="10504" width="4.7109375" customWidth="1"/>
    <col min="10505" max="10505" width="16.85546875" customWidth="1"/>
    <col min="10506" max="10506" width="1.5703125" customWidth="1"/>
    <col min="10507" max="10507" width="14.5703125" customWidth="1"/>
    <col min="10508" max="10508" width="17.7109375" customWidth="1"/>
    <col min="10754" max="10755" width="8.28515625" customWidth="1"/>
    <col min="10756" max="10756" width="5" customWidth="1"/>
    <col min="10757" max="10757" width="8.28515625" customWidth="1"/>
    <col min="10758" max="10758" width="16.7109375" customWidth="1"/>
    <col min="10759" max="10759" width="17.7109375" customWidth="1"/>
    <col min="10760" max="10760" width="4.7109375" customWidth="1"/>
    <col min="10761" max="10761" width="16.85546875" customWidth="1"/>
    <col min="10762" max="10762" width="1.5703125" customWidth="1"/>
    <col min="10763" max="10763" width="14.5703125" customWidth="1"/>
    <col min="10764" max="10764" width="17.7109375" customWidth="1"/>
    <col min="11010" max="11011" width="8.28515625" customWidth="1"/>
    <col min="11012" max="11012" width="5" customWidth="1"/>
    <col min="11013" max="11013" width="8.28515625" customWidth="1"/>
    <col min="11014" max="11014" width="16.7109375" customWidth="1"/>
    <col min="11015" max="11015" width="17.7109375" customWidth="1"/>
    <col min="11016" max="11016" width="4.7109375" customWidth="1"/>
    <col min="11017" max="11017" width="16.85546875" customWidth="1"/>
    <col min="11018" max="11018" width="1.5703125" customWidth="1"/>
    <col min="11019" max="11019" width="14.5703125" customWidth="1"/>
    <col min="11020" max="11020" width="17.7109375" customWidth="1"/>
    <col min="11266" max="11267" width="8.28515625" customWidth="1"/>
    <col min="11268" max="11268" width="5" customWidth="1"/>
    <col min="11269" max="11269" width="8.28515625" customWidth="1"/>
    <col min="11270" max="11270" width="16.7109375" customWidth="1"/>
    <col min="11271" max="11271" width="17.7109375" customWidth="1"/>
    <col min="11272" max="11272" width="4.7109375" customWidth="1"/>
    <col min="11273" max="11273" width="16.85546875" customWidth="1"/>
    <col min="11274" max="11274" width="1.5703125" customWidth="1"/>
    <col min="11275" max="11275" width="14.5703125" customWidth="1"/>
    <col min="11276" max="11276" width="17.7109375" customWidth="1"/>
    <col min="11522" max="11523" width="8.28515625" customWidth="1"/>
    <col min="11524" max="11524" width="5" customWidth="1"/>
    <col min="11525" max="11525" width="8.28515625" customWidth="1"/>
    <col min="11526" max="11526" width="16.7109375" customWidth="1"/>
    <col min="11527" max="11527" width="17.7109375" customWidth="1"/>
    <col min="11528" max="11528" width="4.7109375" customWidth="1"/>
    <col min="11529" max="11529" width="16.85546875" customWidth="1"/>
    <col min="11530" max="11530" width="1.5703125" customWidth="1"/>
    <col min="11531" max="11531" width="14.5703125" customWidth="1"/>
    <col min="11532" max="11532" width="17.7109375" customWidth="1"/>
    <col min="11778" max="11779" width="8.28515625" customWidth="1"/>
    <col min="11780" max="11780" width="5" customWidth="1"/>
    <col min="11781" max="11781" width="8.28515625" customWidth="1"/>
    <col min="11782" max="11782" width="16.7109375" customWidth="1"/>
    <col min="11783" max="11783" width="17.7109375" customWidth="1"/>
    <col min="11784" max="11784" width="4.7109375" customWidth="1"/>
    <col min="11785" max="11785" width="16.85546875" customWidth="1"/>
    <col min="11786" max="11786" width="1.5703125" customWidth="1"/>
    <col min="11787" max="11787" width="14.5703125" customWidth="1"/>
    <col min="11788" max="11788" width="17.7109375" customWidth="1"/>
    <col min="12034" max="12035" width="8.28515625" customWidth="1"/>
    <col min="12036" max="12036" width="5" customWidth="1"/>
    <col min="12037" max="12037" width="8.28515625" customWidth="1"/>
    <col min="12038" max="12038" width="16.7109375" customWidth="1"/>
    <col min="12039" max="12039" width="17.7109375" customWidth="1"/>
    <col min="12040" max="12040" width="4.7109375" customWidth="1"/>
    <col min="12041" max="12041" width="16.85546875" customWidth="1"/>
    <col min="12042" max="12042" width="1.5703125" customWidth="1"/>
    <col min="12043" max="12043" width="14.5703125" customWidth="1"/>
    <col min="12044" max="12044" width="17.7109375" customWidth="1"/>
    <col min="12290" max="12291" width="8.28515625" customWidth="1"/>
    <col min="12292" max="12292" width="5" customWidth="1"/>
    <col min="12293" max="12293" width="8.28515625" customWidth="1"/>
    <col min="12294" max="12294" width="16.7109375" customWidth="1"/>
    <col min="12295" max="12295" width="17.7109375" customWidth="1"/>
    <col min="12296" max="12296" width="4.7109375" customWidth="1"/>
    <col min="12297" max="12297" width="16.85546875" customWidth="1"/>
    <col min="12298" max="12298" width="1.5703125" customWidth="1"/>
    <col min="12299" max="12299" width="14.5703125" customWidth="1"/>
    <col min="12300" max="12300" width="17.7109375" customWidth="1"/>
    <col min="12546" max="12547" width="8.28515625" customWidth="1"/>
    <col min="12548" max="12548" width="5" customWidth="1"/>
    <col min="12549" max="12549" width="8.28515625" customWidth="1"/>
    <col min="12550" max="12550" width="16.7109375" customWidth="1"/>
    <col min="12551" max="12551" width="17.7109375" customWidth="1"/>
    <col min="12552" max="12552" width="4.7109375" customWidth="1"/>
    <col min="12553" max="12553" width="16.85546875" customWidth="1"/>
    <col min="12554" max="12554" width="1.5703125" customWidth="1"/>
    <col min="12555" max="12555" width="14.5703125" customWidth="1"/>
    <col min="12556" max="12556" width="17.7109375" customWidth="1"/>
    <col min="12802" max="12803" width="8.28515625" customWidth="1"/>
    <col min="12804" max="12804" width="5" customWidth="1"/>
    <col min="12805" max="12805" width="8.28515625" customWidth="1"/>
    <col min="12806" max="12806" width="16.7109375" customWidth="1"/>
    <col min="12807" max="12807" width="17.7109375" customWidth="1"/>
    <col min="12808" max="12808" width="4.7109375" customWidth="1"/>
    <col min="12809" max="12809" width="16.85546875" customWidth="1"/>
    <col min="12810" max="12810" width="1.5703125" customWidth="1"/>
    <col min="12811" max="12811" width="14.5703125" customWidth="1"/>
    <col min="12812" max="12812" width="17.7109375" customWidth="1"/>
    <col min="13058" max="13059" width="8.28515625" customWidth="1"/>
    <col min="13060" max="13060" width="5" customWidth="1"/>
    <col min="13061" max="13061" width="8.28515625" customWidth="1"/>
    <col min="13062" max="13062" width="16.7109375" customWidth="1"/>
    <col min="13063" max="13063" width="17.7109375" customWidth="1"/>
    <col min="13064" max="13064" width="4.7109375" customWidth="1"/>
    <col min="13065" max="13065" width="16.85546875" customWidth="1"/>
    <col min="13066" max="13066" width="1.5703125" customWidth="1"/>
    <col min="13067" max="13067" width="14.5703125" customWidth="1"/>
    <col min="13068" max="13068" width="17.7109375" customWidth="1"/>
    <col min="13314" max="13315" width="8.28515625" customWidth="1"/>
    <col min="13316" max="13316" width="5" customWidth="1"/>
    <col min="13317" max="13317" width="8.28515625" customWidth="1"/>
    <col min="13318" max="13318" width="16.7109375" customWidth="1"/>
    <col min="13319" max="13319" width="17.7109375" customWidth="1"/>
    <col min="13320" max="13320" width="4.7109375" customWidth="1"/>
    <col min="13321" max="13321" width="16.85546875" customWidth="1"/>
    <col min="13322" max="13322" width="1.5703125" customWidth="1"/>
    <col min="13323" max="13323" width="14.5703125" customWidth="1"/>
    <col min="13324" max="13324" width="17.7109375" customWidth="1"/>
    <col min="13570" max="13571" width="8.28515625" customWidth="1"/>
    <col min="13572" max="13572" width="5" customWidth="1"/>
    <col min="13573" max="13573" width="8.28515625" customWidth="1"/>
    <col min="13574" max="13574" width="16.7109375" customWidth="1"/>
    <col min="13575" max="13575" width="17.7109375" customWidth="1"/>
    <col min="13576" max="13576" width="4.7109375" customWidth="1"/>
    <col min="13577" max="13577" width="16.85546875" customWidth="1"/>
    <col min="13578" max="13578" width="1.5703125" customWidth="1"/>
    <col min="13579" max="13579" width="14.5703125" customWidth="1"/>
    <col min="13580" max="13580" width="17.7109375" customWidth="1"/>
    <col min="13826" max="13827" width="8.28515625" customWidth="1"/>
    <col min="13828" max="13828" width="5" customWidth="1"/>
    <col min="13829" max="13829" width="8.28515625" customWidth="1"/>
    <col min="13830" max="13830" width="16.7109375" customWidth="1"/>
    <col min="13831" max="13831" width="17.7109375" customWidth="1"/>
    <col min="13832" max="13832" width="4.7109375" customWidth="1"/>
    <col min="13833" max="13833" width="16.85546875" customWidth="1"/>
    <col min="13834" max="13834" width="1.5703125" customWidth="1"/>
    <col min="13835" max="13835" width="14.5703125" customWidth="1"/>
    <col min="13836" max="13836" width="17.7109375" customWidth="1"/>
    <col min="14082" max="14083" width="8.28515625" customWidth="1"/>
    <col min="14084" max="14084" width="5" customWidth="1"/>
    <col min="14085" max="14085" width="8.28515625" customWidth="1"/>
    <col min="14086" max="14086" width="16.7109375" customWidth="1"/>
    <col min="14087" max="14087" width="17.7109375" customWidth="1"/>
    <col min="14088" max="14088" width="4.7109375" customWidth="1"/>
    <col min="14089" max="14089" width="16.85546875" customWidth="1"/>
    <col min="14090" max="14090" width="1.5703125" customWidth="1"/>
    <col min="14091" max="14091" width="14.5703125" customWidth="1"/>
    <col min="14092" max="14092" width="17.7109375" customWidth="1"/>
    <col min="14338" max="14339" width="8.28515625" customWidth="1"/>
    <col min="14340" max="14340" width="5" customWidth="1"/>
    <col min="14341" max="14341" width="8.28515625" customWidth="1"/>
    <col min="14342" max="14342" width="16.7109375" customWidth="1"/>
    <col min="14343" max="14343" width="17.7109375" customWidth="1"/>
    <col min="14344" max="14344" width="4.7109375" customWidth="1"/>
    <col min="14345" max="14345" width="16.85546875" customWidth="1"/>
    <col min="14346" max="14346" width="1.5703125" customWidth="1"/>
    <col min="14347" max="14347" width="14.5703125" customWidth="1"/>
    <col min="14348" max="14348" width="17.7109375" customWidth="1"/>
    <col min="14594" max="14595" width="8.28515625" customWidth="1"/>
    <col min="14596" max="14596" width="5" customWidth="1"/>
    <col min="14597" max="14597" width="8.28515625" customWidth="1"/>
    <col min="14598" max="14598" width="16.7109375" customWidth="1"/>
    <col min="14599" max="14599" width="17.7109375" customWidth="1"/>
    <col min="14600" max="14600" width="4.7109375" customWidth="1"/>
    <col min="14601" max="14601" width="16.85546875" customWidth="1"/>
    <col min="14602" max="14602" width="1.5703125" customWidth="1"/>
    <col min="14603" max="14603" width="14.5703125" customWidth="1"/>
    <col min="14604" max="14604" width="17.7109375" customWidth="1"/>
    <col min="14850" max="14851" width="8.28515625" customWidth="1"/>
    <col min="14852" max="14852" width="5" customWidth="1"/>
    <col min="14853" max="14853" width="8.28515625" customWidth="1"/>
    <col min="14854" max="14854" width="16.7109375" customWidth="1"/>
    <col min="14855" max="14855" width="17.7109375" customWidth="1"/>
    <col min="14856" max="14856" width="4.7109375" customWidth="1"/>
    <col min="14857" max="14857" width="16.85546875" customWidth="1"/>
    <col min="14858" max="14858" width="1.5703125" customWidth="1"/>
    <col min="14859" max="14859" width="14.5703125" customWidth="1"/>
    <col min="14860" max="14860" width="17.7109375" customWidth="1"/>
    <col min="15106" max="15107" width="8.28515625" customWidth="1"/>
    <col min="15108" max="15108" width="5" customWidth="1"/>
    <col min="15109" max="15109" width="8.28515625" customWidth="1"/>
    <col min="15110" max="15110" width="16.7109375" customWidth="1"/>
    <col min="15111" max="15111" width="17.7109375" customWidth="1"/>
    <col min="15112" max="15112" width="4.7109375" customWidth="1"/>
    <col min="15113" max="15113" width="16.85546875" customWidth="1"/>
    <col min="15114" max="15114" width="1.5703125" customWidth="1"/>
    <col min="15115" max="15115" width="14.5703125" customWidth="1"/>
    <col min="15116" max="15116" width="17.7109375" customWidth="1"/>
    <col min="15362" max="15363" width="8.28515625" customWidth="1"/>
    <col min="15364" max="15364" width="5" customWidth="1"/>
    <col min="15365" max="15365" width="8.28515625" customWidth="1"/>
    <col min="15366" max="15366" width="16.7109375" customWidth="1"/>
    <col min="15367" max="15367" width="17.7109375" customWidth="1"/>
    <col min="15368" max="15368" width="4.7109375" customWidth="1"/>
    <col min="15369" max="15369" width="16.85546875" customWidth="1"/>
    <col min="15370" max="15370" width="1.5703125" customWidth="1"/>
    <col min="15371" max="15371" width="14.5703125" customWidth="1"/>
    <col min="15372" max="15372" width="17.7109375" customWidth="1"/>
    <col min="15618" max="15619" width="8.28515625" customWidth="1"/>
    <col min="15620" max="15620" width="5" customWidth="1"/>
    <col min="15621" max="15621" width="8.28515625" customWidth="1"/>
    <col min="15622" max="15622" width="16.7109375" customWidth="1"/>
    <col min="15623" max="15623" width="17.7109375" customWidth="1"/>
    <col min="15624" max="15624" width="4.7109375" customWidth="1"/>
    <col min="15625" max="15625" width="16.85546875" customWidth="1"/>
    <col min="15626" max="15626" width="1.5703125" customWidth="1"/>
    <col min="15627" max="15627" width="14.5703125" customWidth="1"/>
    <col min="15628" max="15628" width="17.7109375" customWidth="1"/>
    <col min="15874" max="15875" width="8.28515625" customWidth="1"/>
    <col min="15876" max="15876" width="5" customWidth="1"/>
    <col min="15877" max="15877" width="8.28515625" customWidth="1"/>
    <col min="15878" max="15878" width="16.7109375" customWidth="1"/>
    <col min="15879" max="15879" width="17.7109375" customWidth="1"/>
    <col min="15880" max="15880" width="4.7109375" customWidth="1"/>
    <col min="15881" max="15881" width="16.85546875" customWidth="1"/>
    <col min="15882" max="15882" width="1.5703125" customWidth="1"/>
    <col min="15883" max="15883" width="14.5703125" customWidth="1"/>
    <col min="15884" max="15884" width="17.7109375" customWidth="1"/>
    <col min="16130" max="16131" width="8.28515625" customWidth="1"/>
    <col min="16132" max="16132" width="5" customWidth="1"/>
    <col min="16133" max="16133" width="8.28515625" customWidth="1"/>
    <col min="16134" max="16134" width="16.7109375" customWidth="1"/>
    <col min="16135" max="16135" width="17.7109375" customWidth="1"/>
    <col min="16136" max="16136" width="4.7109375" customWidth="1"/>
    <col min="16137" max="16137" width="16.85546875" customWidth="1"/>
    <col min="16138" max="16138" width="1.5703125" customWidth="1"/>
    <col min="16139" max="16139" width="14.5703125" customWidth="1"/>
    <col min="16140" max="16140" width="17.7109375" customWidth="1"/>
  </cols>
  <sheetData>
    <row r="1" spans="1:9" x14ac:dyDescent="0.2">
      <c r="A1" t="s">
        <v>795</v>
      </c>
    </row>
    <row r="3" spans="1:9" ht="15.75" x14ac:dyDescent="0.25">
      <c r="A3" s="17" t="s">
        <v>796</v>
      </c>
    </row>
    <row r="4" spans="1:9" s="600" customFormat="1" ht="15.75" x14ac:dyDescent="0.25">
      <c r="A4" s="1" t="s">
        <v>797</v>
      </c>
      <c r="B4" s="17"/>
      <c r="C4" s="17"/>
      <c r="D4" s="17"/>
      <c r="E4" s="17"/>
      <c r="F4" s="597" t="s">
        <v>798</v>
      </c>
      <c r="G4" s="598" t="s">
        <v>856</v>
      </c>
      <c r="H4" s="596"/>
      <c r="I4" s="599"/>
    </row>
    <row r="5" spans="1:9" s="600" customFormat="1" ht="15.75" x14ac:dyDescent="0.25">
      <c r="A5" s="1"/>
      <c r="B5" s="17"/>
      <c r="C5" s="17"/>
      <c r="D5" s="17"/>
      <c r="E5" s="17"/>
      <c r="F5" s="597"/>
      <c r="G5" s="601"/>
      <c r="H5" s="596"/>
      <c r="I5" s="599"/>
    </row>
    <row r="6" spans="1:9" s="600" customFormat="1" ht="15.75" x14ac:dyDescent="0.25">
      <c r="A6" s="1"/>
      <c r="B6" s="17"/>
      <c r="C6" s="17"/>
      <c r="D6" s="17"/>
      <c r="E6" s="17"/>
      <c r="F6" s="597"/>
      <c r="G6" s="601"/>
      <c r="H6" s="596"/>
      <c r="I6" s="599"/>
    </row>
    <row r="7" spans="1:9" s="600" customFormat="1" ht="15.75" x14ac:dyDescent="0.25">
      <c r="A7" s="1"/>
      <c r="B7" s="17"/>
      <c r="C7" s="17"/>
      <c r="D7" s="17"/>
      <c r="E7" s="17"/>
      <c r="F7" s="597"/>
      <c r="G7" s="601"/>
      <c r="H7" s="573"/>
      <c r="I7" s="599"/>
    </row>
    <row r="8" spans="1:9" s="600" customFormat="1" ht="15.75" x14ac:dyDescent="0.25">
      <c r="B8" s="17"/>
      <c r="C8" s="17"/>
      <c r="D8" s="17"/>
      <c r="E8" s="17"/>
      <c r="G8" s="602" t="s">
        <v>799</v>
      </c>
      <c r="H8" s="573"/>
      <c r="I8" s="603" t="s">
        <v>800</v>
      </c>
    </row>
    <row r="9" spans="1:9" x14ac:dyDescent="0.2">
      <c r="G9" s="604"/>
      <c r="H9" s="573"/>
      <c r="I9" s="605"/>
    </row>
    <row r="10" spans="1:9" ht="16.5" customHeight="1" x14ac:dyDescent="0.25">
      <c r="A10" s="17" t="s">
        <v>775</v>
      </c>
      <c r="B10" t="s">
        <v>801</v>
      </c>
      <c r="E10" t="s">
        <v>802</v>
      </c>
      <c r="G10" s="606">
        <v>367763347.56999999</v>
      </c>
      <c r="I10" s="607">
        <v>716867379.95000005</v>
      </c>
    </row>
    <row r="11" spans="1:9" ht="16.5" customHeight="1" x14ac:dyDescent="0.2">
      <c r="I11" s="607"/>
    </row>
    <row r="12" spans="1:9" ht="16.5" customHeight="1" x14ac:dyDescent="0.2">
      <c r="B12" t="s">
        <v>803</v>
      </c>
      <c r="E12" t="s">
        <v>804</v>
      </c>
      <c r="G12" s="608">
        <v>3025107.33</v>
      </c>
      <c r="H12" s="609"/>
      <c r="I12" s="607">
        <v>5900000</v>
      </c>
    </row>
    <row r="13" spans="1:9" ht="16.5" customHeight="1" x14ac:dyDescent="0.2">
      <c r="I13" s="607"/>
    </row>
    <row r="14" spans="1:9" ht="16.5" customHeight="1" x14ac:dyDescent="0.25">
      <c r="A14" s="17" t="s">
        <v>572</v>
      </c>
      <c r="C14" s="610"/>
      <c r="D14" s="610"/>
      <c r="E14" s="610"/>
      <c r="F14" s="610"/>
      <c r="G14" s="606">
        <f>SUM(G10:G12)</f>
        <v>370788454.89999998</v>
      </c>
      <c r="I14" s="611">
        <f>SUM(I10:I12)</f>
        <v>722767379.95000005</v>
      </c>
    </row>
    <row r="15" spans="1:9" ht="16.5" customHeight="1" x14ac:dyDescent="0.2">
      <c r="I15" s="607"/>
    </row>
    <row r="16" spans="1:9" s="17" customFormat="1" ht="16.5" customHeight="1" x14ac:dyDescent="0.25">
      <c r="C16" s="612" t="s">
        <v>805</v>
      </c>
      <c r="D16" s="612"/>
      <c r="E16" s="612"/>
      <c r="F16" s="613" t="s">
        <v>806</v>
      </c>
      <c r="G16" s="606">
        <v>-95621496.340000004</v>
      </c>
      <c r="H16" s="614"/>
      <c r="I16" s="14">
        <v>188545980.47</v>
      </c>
    </row>
    <row r="17" spans="1:13" ht="16.5" customHeight="1" x14ac:dyDescent="0.2">
      <c r="I17" s="607"/>
    </row>
    <row r="18" spans="1:13" s="17" customFormat="1" ht="16.5" customHeight="1" x14ac:dyDescent="0.25">
      <c r="A18" s="17" t="s">
        <v>807</v>
      </c>
      <c r="C18" s="612"/>
      <c r="D18" s="612"/>
      <c r="E18" s="612"/>
      <c r="F18" s="612"/>
      <c r="G18" s="615">
        <f>SUM(G14:G16)</f>
        <v>275166958.55999994</v>
      </c>
      <c r="H18" s="614"/>
      <c r="I18" s="616">
        <f>SUM(I14:I16)</f>
        <v>911313360.42000008</v>
      </c>
      <c r="L18" s="14"/>
      <c r="M18" s="2"/>
    </row>
    <row r="19" spans="1:13" ht="16.5" customHeight="1" x14ac:dyDescent="0.2">
      <c r="I19" s="607"/>
      <c r="L19" s="617"/>
    </row>
    <row r="20" spans="1:13" ht="16.5" customHeight="1" x14ac:dyDescent="0.2">
      <c r="I20" s="607"/>
    </row>
    <row r="21" spans="1:13" ht="16.5" customHeight="1" x14ac:dyDescent="0.2">
      <c r="I21" s="607"/>
    </row>
    <row r="22" spans="1:13" ht="16.5" customHeight="1" x14ac:dyDescent="0.25">
      <c r="A22" s="17" t="s">
        <v>562</v>
      </c>
      <c r="B22" t="s">
        <v>801</v>
      </c>
      <c r="E22" t="s">
        <v>808</v>
      </c>
      <c r="G22" s="606">
        <v>272141851.23000002</v>
      </c>
      <c r="I22" s="607">
        <v>905413360.41999996</v>
      </c>
    </row>
    <row r="23" spans="1:13" ht="16.5" customHeight="1" x14ac:dyDescent="0.2">
      <c r="I23" s="607"/>
    </row>
    <row r="24" spans="1:13" ht="16.5" customHeight="1" x14ac:dyDescent="0.2">
      <c r="B24" t="s">
        <v>803</v>
      </c>
      <c r="E24" t="str">
        <f>E12</f>
        <v>ř. 4281</v>
      </c>
      <c r="G24" s="608">
        <f>G12</f>
        <v>3025107.33</v>
      </c>
      <c r="H24" s="609"/>
      <c r="I24" s="618">
        <f>I12</f>
        <v>5900000</v>
      </c>
    </row>
    <row r="25" spans="1:13" ht="16.5" customHeight="1" x14ac:dyDescent="0.2">
      <c r="I25" s="607"/>
    </row>
    <row r="26" spans="1:13" s="3" customFormat="1" ht="16.5" customHeight="1" x14ac:dyDescent="0.25">
      <c r="A26" s="17" t="s">
        <v>0</v>
      </c>
      <c r="C26" s="619"/>
      <c r="D26" s="619"/>
      <c r="E26" s="619"/>
      <c r="F26" s="619"/>
      <c r="G26" s="615">
        <f>SUM(G22:G24)</f>
        <v>275166958.56</v>
      </c>
      <c r="H26" s="614"/>
      <c r="I26" s="620">
        <f>SUM(I22:I24)</f>
        <v>911313360.41999996</v>
      </c>
    </row>
    <row r="27" spans="1:13" x14ac:dyDescent="0.2">
      <c r="I27" s="607"/>
    </row>
    <row r="28" spans="1:13" x14ac:dyDescent="0.2">
      <c r="I28" s="607"/>
    </row>
    <row r="29" spans="1:13" x14ac:dyDescent="0.2">
      <c r="A29" s="236" t="s">
        <v>809</v>
      </c>
      <c r="B29" s="236" t="s">
        <v>810</v>
      </c>
      <c r="E29" s="621" t="s">
        <v>811</v>
      </c>
      <c r="G29" s="595">
        <f>G31-G30</f>
        <v>254918654.38</v>
      </c>
      <c r="I29" s="568">
        <f>I31-I30</f>
        <v>705988055.45999992</v>
      </c>
      <c r="K29" s="617"/>
    </row>
    <row r="30" spans="1:13" x14ac:dyDescent="0.2">
      <c r="A30" s="236"/>
      <c r="B30" s="236" t="s">
        <v>812</v>
      </c>
      <c r="E30" t="s">
        <v>813</v>
      </c>
      <c r="G30" s="608">
        <v>20248304.18</v>
      </c>
      <c r="I30" s="618">
        <v>205325304.96000001</v>
      </c>
      <c r="L30" s="617"/>
    </row>
    <row r="31" spans="1:13" x14ac:dyDescent="0.2">
      <c r="A31" t="s">
        <v>814</v>
      </c>
      <c r="G31" s="595">
        <f>G26</f>
        <v>275166958.56</v>
      </c>
      <c r="I31" s="568">
        <f>I26</f>
        <v>911313360.41999996</v>
      </c>
      <c r="L31" s="617"/>
    </row>
    <row r="32" spans="1:13" x14ac:dyDescent="0.2">
      <c r="I32" s="607"/>
    </row>
    <row r="33" spans="1:9" x14ac:dyDescent="0.2">
      <c r="G33" s="604"/>
      <c r="H33" s="573"/>
      <c r="I33" s="605"/>
    </row>
    <row r="34" spans="1:9" x14ac:dyDescent="0.2">
      <c r="G34" s="604"/>
      <c r="H34" s="573"/>
      <c r="I34" s="605"/>
    </row>
    <row r="35" spans="1:9" x14ac:dyDescent="0.2">
      <c r="A35" t="s">
        <v>815</v>
      </c>
      <c r="E35" t="s">
        <v>816</v>
      </c>
      <c r="G35" s="595">
        <v>554601941.40999997</v>
      </c>
      <c r="I35" s="607">
        <v>101584962.39</v>
      </c>
    </row>
    <row r="36" spans="1:9" x14ac:dyDescent="0.2">
      <c r="I36" s="607"/>
    </row>
    <row r="37" spans="1:9" x14ac:dyDescent="0.2">
      <c r="E37" t="s">
        <v>817</v>
      </c>
      <c r="G37" s="595">
        <v>0</v>
      </c>
      <c r="I37" s="607">
        <v>0</v>
      </c>
    </row>
    <row r="38" spans="1:9" x14ac:dyDescent="0.2">
      <c r="E38" t="s">
        <v>818</v>
      </c>
      <c r="G38" s="595">
        <v>506327685.69</v>
      </c>
      <c r="I38" s="596">
        <f>I12</f>
        <v>5900000</v>
      </c>
    </row>
    <row r="39" spans="1:9" x14ac:dyDescent="0.2">
      <c r="E39" t="s">
        <v>819</v>
      </c>
      <c r="G39" s="608">
        <v>0</v>
      </c>
      <c r="I39" s="622">
        <v>0</v>
      </c>
    </row>
    <row r="40" spans="1:9" x14ac:dyDescent="0.2">
      <c r="I40" s="607"/>
    </row>
    <row r="41" spans="1:9" x14ac:dyDescent="0.2">
      <c r="A41" t="s">
        <v>820</v>
      </c>
      <c r="F41" t="s">
        <v>821</v>
      </c>
      <c r="G41" s="595">
        <f>SUM(G37:G40)</f>
        <v>506327685.69</v>
      </c>
      <c r="I41" s="568">
        <f>SUM(I37:I40)</f>
        <v>5900000</v>
      </c>
    </row>
    <row r="42" spans="1:9" x14ac:dyDescent="0.2">
      <c r="I42" s="568"/>
    </row>
    <row r="43" spans="1:9" x14ac:dyDescent="0.2">
      <c r="A43" s="623" t="s">
        <v>822</v>
      </c>
      <c r="G43" s="595">
        <f>G35-G41</f>
        <v>48274255.719999969</v>
      </c>
      <c r="I43" s="568">
        <f>I35-I41</f>
        <v>95684962.390000001</v>
      </c>
    </row>
    <row r="44" spans="1:9" ht="16.5" customHeight="1" x14ac:dyDescent="0.2">
      <c r="B44" t="s">
        <v>803</v>
      </c>
      <c r="G44" s="608">
        <f>G12</f>
        <v>3025107.33</v>
      </c>
      <c r="H44" s="609"/>
      <c r="I44" s="618">
        <f>I12</f>
        <v>5900000</v>
      </c>
    </row>
    <row r="45" spans="1:9" x14ac:dyDescent="0.2">
      <c r="I45" s="568"/>
    </row>
    <row r="46" spans="1:9" ht="15.75" x14ac:dyDescent="0.25">
      <c r="A46" s="624" t="s">
        <v>823</v>
      </c>
      <c r="G46" s="625">
        <f>SUM(G43:G45)</f>
        <v>51299363.049999967</v>
      </c>
      <c r="I46" s="626">
        <f>SUM(I43:I45)</f>
        <v>101584962.39</v>
      </c>
    </row>
    <row r="49" spans="1:11" x14ac:dyDescent="0.2">
      <c r="C49" s="106"/>
    </row>
    <row r="50" spans="1:11" x14ac:dyDescent="0.2">
      <c r="A50" s="106" t="s">
        <v>824</v>
      </c>
      <c r="B50" s="106"/>
      <c r="C50" s="757">
        <v>44418</v>
      </c>
      <c r="D50" s="757"/>
      <c r="G50" s="604"/>
      <c r="H50" s="573"/>
      <c r="I50" s="106"/>
    </row>
    <row r="51" spans="1:11" x14ac:dyDescent="0.2">
      <c r="G51" s="604"/>
      <c r="H51" s="573"/>
      <c r="I51" s="106"/>
    </row>
    <row r="52" spans="1:11" ht="12.75" x14ac:dyDescent="0.2">
      <c r="G52" s="602" t="s">
        <v>799</v>
      </c>
      <c r="H52" s="573"/>
      <c r="I52" s="602" t="s">
        <v>825</v>
      </c>
    </row>
    <row r="53" spans="1:11" ht="14.25" x14ac:dyDescent="0.2">
      <c r="A53" t="s">
        <v>775</v>
      </c>
      <c r="B53" t="s">
        <v>826</v>
      </c>
      <c r="E53" t="s">
        <v>827</v>
      </c>
      <c r="F53" s="669"/>
      <c r="G53" s="670">
        <v>207984549.72</v>
      </c>
      <c r="I53" s="596">
        <v>380538830</v>
      </c>
    </row>
    <row r="54" spans="1:11" ht="14.25" x14ac:dyDescent="0.2">
      <c r="B54" t="s">
        <v>828</v>
      </c>
      <c r="E54" t="s">
        <v>829</v>
      </c>
      <c r="F54" s="669"/>
      <c r="G54" s="670">
        <v>79364493.769999996</v>
      </c>
      <c r="I54" s="596">
        <v>131185258.25</v>
      </c>
    </row>
    <row r="55" spans="1:11" ht="14.25" x14ac:dyDescent="0.2">
      <c r="B55" t="s">
        <v>830</v>
      </c>
      <c r="E55" t="s">
        <v>831</v>
      </c>
      <c r="F55" s="669"/>
      <c r="G55" s="670">
        <v>32140048.359999999</v>
      </c>
      <c r="I55" s="596">
        <v>109458329.31</v>
      </c>
    </row>
    <row r="56" spans="1:11" ht="14.25" x14ac:dyDescent="0.2">
      <c r="B56" t="s">
        <v>832</v>
      </c>
      <c r="C56" t="s">
        <v>833</v>
      </c>
      <c r="F56" s="669"/>
      <c r="G56" s="671">
        <f>G46</f>
        <v>51299363.049999967</v>
      </c>
      <c r="I56" s="618">
        <f>I46</f>
        <v>101584962.39</v>
      </c>
    </row>
    <row r="57" spans="1:11" ht="14.25" x14ac:dyDescent="0.2">
      <c r="A57" t="s">
        <v>572</v>
      </c>
      <c r="F57" s="669"/>
      <c r="G57" s="670">
        <f>SUM(G53:G56)</f>
        <v>370788454.89999998</v>
      </c>
      <c r="I57" s="596">
        <f>SUM(I53:I56)</f>
        <v>722767379.94999993</v>
      </c>
    </row>
    <row r="58" spans="1:11" ht="14.25" x14ac:dyDescent="0.2">
      <c r="B58" t="s">
        <v>834</v>
      </c>
      <c r="F58" s="669"/>
      <c r="G58" s="672">
        <f>G16</f>
        <v>-95621496.340000004</v>
      </c>
      <c r="I58" s="627">
        <f>I16</f>
        <v>188545980.47</v>
      </c>
    </row>
    <row r="59" spans="1:11" ht="14.25" x14ac:dyDescent="0.2">
      <c r="F59" s="669"/>
      <c r="G59" s="670"/>
      <c r="I59" s="596"/>
    </row>
    <row r="60" spans="1:11" x14ac:dyDescent="0.25">
      <c r="A60" s="236" t="s">
        <v>807</v>
      </c>
      <c r="C60" s="610"/>
      <c r="D60" s="610"/>
      <c r="E60" s="610"/>
      <c r="F60" s="673"/>
      <c r="G60" s="674">
        <f>SUM(G57:G59)</f>
        <v>275166958.55999994</v>
      </c>
      <c r="I60" s="596">
        <f>SUM(I57:I58)</f>
        <v>911313360.41999996</v>
      </c>
    </row>
    <row r="61" spans="1:11" ht="14.25" x14ac:dyDescent="0.2">
      <c r="F61" s="669"/>
      <c r="G61" s="675"/>
      <c r="H61" s="573"/>
      <c r="I61" s="573"/>
      <c r="J61" s="106"/>
      <c r="K61" s="106"/>
    </row>
    <row r="62" spans="1:11" ht="14.25" x14ac:dyDescent="0.2">
      <c r="A62" t="s">
        <v>562</v>
      </c>
      <c r="B62" s="628" t="s">
        <v>835</v>
      </c>
      <c r="C62" s="629"/>
      <c r="D62" s="629"/>
      <c r="E62" s="629"/>
      <c r="F62" s="676">
        <f>SUM(G63:G66)</f>
        <v>19186396.960000001</v>
      </c>
      <c r="G62" s="675"/>
      <c r="H62" s="573"/>
      <c r="I62" s="602"/>
      <c r="K62" s="617">
        <f>SUM(I63:I66)</f>
        <v>48392506.829999998</v>
      </c>
    </row>
    <row r="63" spans="1:11" ht="14.25" x14ac:dyDescent="0.2">
      <c r="A63" t="s">
        <v>836</v>
      </c>
      <c r="B63" s="630"/>
      <c r="C63" s="631">
        <v>102</v>
      </c>
      <c r="D63" s="610"/>
      <c r="E63" s="610"/>
      <c r="F63" s="673"/>
      <c r="G63" s="677">
        <v>457567.67</v>
      </c>
      <c r="I63" s="632">
        <v>1985000</v>
      </c>
    </row>
    <row r="64" spans="1:11" ht="14.25" x14ac:dyDescent="0.2">
      <c r="B64" s="633"/>
      <c r="C64" s="634">
        <v>110</v>
      </c>
      <c r="D64" s="635"/>
      <c r="E64" s="635"/>
      <c r="F64" s="678"/>
      <c r="G64" s="677">
        <v>12393432.960000001</v>
      </c>
      <c r="I64" s="632">
        <v>28337618.5</v>
      </c>
    </row>
    <row r="65" spans="2:12" ht="14.25" x14ac:dyDescent="0.2">
      <c r="B65" s="633"/>
      <c r="C65" s="634">
        <v>120</v>
      </c>
      <c r="D65" s="635"/>
      <c r="E65" s="635"/>
      <c r="F65" s="678"/>
      <c r="G65" s="677">
        <v>1315668</v>
      </c>
      <c r="I65" s="632">
        <v>2334000</v>
      </c>
    </row>
    <row r="66" spans="2:12" ht="14.25" x14ac:dyDescent="0.2">
      <c r="B66" s="633"/>
      <c r="C66" s="634">
        <v>139</v>
      </c>
      <c r="D66" s="635"/>
      <c r="E66" s="635"/>
      <c r="F66" s="678"/>
      <c r="G66" s="677">
        <v>5019728.33</v>
      </c>
      <c r="I66" s="632">
        <v>15735888.33</v>
      </c>
    </row>
    <row r="67" spans="2:12" ht="14.25" x14ac:dyDescent="0.2">
      <c r="B67" s="628" t="s">
        <v>837</v>
      </c>
      <c r="C67" s="629"/>
      <c r="D67" s="629"/>
      <c r="E67" s="629"/>
      <c r="F67" s="676">
        <f>SUM(G68:G72)</f>
        <v>3247009.54</v>
      </c>
      <c r="G67" s="675"/>
      <c r="H67" s="573"/>
      <c r="I67" s="602"/>
      <c r="K67" s="617">
        <f>SUM(I68:I72)</f>
        <v>98053500</v>
      </c>
    </row>
    <row r="68" spans="2:12" ht="14.25" x14ac:dyDescent="0.2">
      <c r="B68" s="630"/>
      <c r="C68" s="631">
        <v>602</v>
      </c>
      <c r="D68" s="610"/>
      <c r="E68" s="610"/>
      <c r="F68" s="673"/>
      <c r="G68" s="677">
        <v>27420</v>
      </c>
      <c r="I68" s="632">
        <v>5530000</v>
      </c>
    </row>
    <row r="69" spans="2:12" ht="14.25" x14ac:dyDescent="0.2">
      <c r="B69" s="633"/>
      <c r="C69" s="634">
        <v>610</v>
      </c>
      <c r="D69" s="635"/>
      <c r="E69" s="635"/>
      <c r="F69" s="678"/>
      <c r="G69" s="677">
        <v>1276443.27</v>
      </c>
      <c r="I69" s="632">
        <v>38030000</v>
      </c>
    </row>
    <row r="70" spans="2:12" ht="14.25" x14ac:dyDescent="0.2">
      <c r="B70" s="633"/>
      <c r="C70" s="634">
        <v>615</v>
      </c>
      <c r="D70" s="635"/>
      <c r="E70" s="635"/>
      <c r="F70" s="678"/>
      <c r="G70" s="677">
        <v>586434.25</v>
      </c>
      <c r="I70" s="632">
        <v>5595000</v>
      </c>
    </row>
    <row r="71" spans="2:12" ht="14.25" x14ac:dyDescent="0.2">
      <c r="B71" s="633"/>
      <c r="C71" s="634">
        <v>639</v>
      </c>
      <c r="D71" s="635"/>
      <c r="E71" s="635"/>
      <c r="F71" s="678"/>
      <c r="G71" s="677">
        <v>1284037.02</v>
      </c>
      <c r="I71" s="632">
        <v>48726000</v>
      </c>
    </row>
    <row r="72" spans="2:12" ht="14.25" x14ac:dyDescent="0.2">
      <c r="B72" s="633"/>
      <c r="C72" s="634">
        <v>641</v>
      </c>
      <c r="D72" s="635"/>
      <c r="E72" s="635"/>
      <c r="F72" s="678"/>
      <c r="G72" s="677">
        <v>72675</v>
      </c>
      <c r="I72" s="632">
        <v>172500</v>
      </c>
    </row>
    <row r="73" spans="2:12" ht="14.25" x14ac:dyDescent="0.2">
      <c r="B73" s="636" t="s">
        <v>838</v>
      </c>
      <c r="C73" s="637"/>
      <c r="D73" s="70"/>
      <c r="E73" s="70"/>
      <c r="F73" s="679"/>
      <c r="G73" s="680">
        <v>2636838</v>
      </c>
      <c r="I73" s="638">
        <v>2714871</v>
      </c>
      <c r="K73" s="617"/>
    </row>
    <row r="74" spans="2:12" ht="14.25" x14ac:dyDescent="0.2">
      <c r="B74" s="636" t="s">
        <v>839</v>
      </c>
      <c r="C74" s="637"/>
      <c r="D74" s="70"/>
      <c r="E74" s="70"/>
      <c r="F74" s="679"/>
      <c r="G74" s="680">
        <v>3288514.39</v>
      </c>
      <c r="I74" s="638">
        <v>10852956</v>
      </c>
      <c r="K74" s="617"/>
    </row>
    <row r="75" spans="2:12" ht="14.25" x14ac:dyDescent="0.2">
      <c r="B75" s="639">
        <v>210</v>
      </c>
      <c r="C75" s="637"/>
      <c r="D75" s="70"/>
      <c r="E75" s="70"/>
      <c r="F75" s="679"/>
      <c r="G75" s="680">
        <v>3222352.5</v>
      </c>
      <c r="I75" s="638">
        <v>6888417</v>
      </c>
      <c r="K75" s="617"/>
    </row>
    <row r="76" spans="2:12" ht="14.25" x14ac:dyDescent="0.2">
      <c r="B76" s="640">
        <v>313</v>
      </c>
      <c r="C76" s="634"/>
      <c r="D76" s="635"/>
      <c r="E76" s="635"/>
      <c r="F76" s="678"/>
      <c r="G76" s="677">
        <v>10150</v>
      </c>
      <c r="I76" s="632">
        <v>112000</v>
      </c>
    </row>
    <row r="77" spans="2:12" ht="14.25" x14ac:dyDescent="0.2">
      <c r="B77" s="641">
        <v>317</v>
      </c>
      <c r="C77" s="642"/>
      <c r="D77" s="643"/>
      <c r="E77" s="643"/>
      <c r="F77" s="681"/>
      <c r="G77" s="682">
        <v>0</v>
      </c>
      <c r="I77" s="644">
        <v>500000</v>
      </c>
    </row>
    <row r="78" spans="2:12" ht="14.25" x14ac:dyDescent="0.2">
      <c r="B78" s="628" t="s">
        <v>840</v>
      </c>
      <c r="C78" s="645"/>
      <c r="D78" s="629"/>
      <c r="E78" s="629"/>
      <c r="F78" s="676">
        <f>SUM(G79:G81)</f>
        <v>58469693.700000003</v>
      </c>
      <c r="G78" s="683"/>
      <c r="I78" s="646"/>
      <c r="K78" s="617">
        <f>SUM(I79:I81)</f>
        <v>169653408.5</v>
      </c>
      <c r="L78" s="602"/>
    </row>
    <row r="79" spans="2:12" ht="14.25" x14ac:dyDescent="0.2">
      <c r="B79" s="633"/>
      <c r="C79" s="634">
        <v>414</v>
      </c>
      <c r="D79" s="635"/>
      <c r="E79" s="635"/>
      <c r="F79" s="678"/>
      <c r="G79" s="677">
        <v>23810109.399999999</v>
      </c>
      <c r="I79" s="632">
        <v>84633644.5</v>
      </c>
    </row>
    <row r="80" spans="2:12" ht="14.25" x14ac:dyDescent="0.2">
      <c r="B80" s="633"/>
      <c r="C80" s="634">
        <v>416</v>
      </c>
      <c r="D80" s="635"/>
      <c r="E80" s="635"/>
      <c r="F80" s="678"/>
      <c r="G80" s="677">
        <v>19133189.300000001</v>
      </c>
      <c r="I80" s="632">
        <v>66382479</v>
      </c>
    </row>
    <row r="81" spans="1:14" ht="14.25" x14ac:dyDescent="0.2">
      <c r="B81" s="647"/>
      <c r="C81" s="648">
        <v>441</v>
      </c>
      <c r="D81" s="649"/>
      <c r="E81" s="649"/>
      <c r="F81" s="684"/>
      <c r="G81" s="685">
        <v>15526395</v>
      </c>
      <c r="I81" s="650">
        <v>18637285</v>
      </c>
    </row>
    <row r="82" spans="1:14" ht="14.25" x14ac:dyDescent="0.2">
      <c r="B82" s="636" t="s">
        <v>841</v>
      </c>
      <c r="C82" s="637"/>
      <c r="D82" s="651"/>
      <c r="E82" s="70"/>
      <c r="F82" s="679"/>
      <c r="G82" s="680">
        <v>10675839.41</v>
      </c>
      <c r="I82" s="638">
        <v>24084500</v>
      </c>
      <c r="K82" s="617"/>
    </row>
    <row r="83" spans="1:14" ht="14.25" x14ac:dyDescent="0.2">
      <c r="B83" s="652" t="s">
        <v>842</v>
      </c>
      <c r="C83" s="642"/>
      <c r="D83" s="653"/>
      <c r="E83" s="643"/>
      <c r="F83" s="681"/>
      <c r="G83" s="682">
        <v>10224875.470000001</v>
      </c>
      <c r="I83" s="644">
        <v>35062237.5</v>
      </c>
      <c r="K83" s="617"/>
    </row>
    <row r="84" spans="1:14" ht="14.25" x14ac:dyDescent="0.2">
      <c r="B84" s="641">
        <v>919</v>
      </c>
      <c r="C84" s="642"/>
      <c r="D84" s="653"/>
      <c r="E84" s="643"/>
      <c r="F84" s="681"/>
      <c r="G84" s="682">
        <v>62813196.600000001</v>
      </c>
      <c r="I84" s="644">
        <v>151136957</v>
      </c>
      <c r="K84" s="617"/>
      <c r="N84" s="731"/>
    </row>
    <row r="85" spans="1:14" ht="14.25" x14ac:dyDescent="0.2">
      <c r="B85" s="654" t="s">
        <v>843</v>
      </c>
      <c r="C85" s="655"/>
      <c r="D85" s="656"/>
      <c r="E85" s="656"/>
      <c r="F85" s="686">
        <f>SUM(G86:G87)</f>
        <v>9146016.3599999994</v>
      </c>
      <c r="G85" s="687"/>
      <c r="I85" s="657"/>
      <c r="K85" s="617">
        <f>SUM(I86:I87)</f>
        <v>10887288</v>
      </c>
    </row>
    <row r="86" spans="1:14" ht="14.25" x14ac:dyDescent="0.2">
      <c r="B86" s="633"/>
      <c r="C86" s="634">
        <v>528</v>
      </c>
      <c r="D86" s="635"/>
      <c r="E86" s="635"/>
      <c r="F86" s="678"/>
      <c r="G86" s="677">
        <v>1966616.36</v>
      </c>
      <c r="I86" s="658">
        <v>3017000</v>
      </c>
    </row>
    <row r="87" spans="1:14" ht="14.25" x14ac:dyDescent="0.2">
      <c r="B87" s="652"/>
      <c r="C87" s="642">
        <v>541</v>
      </c>
      <c r="D87" s="643"/>
      <c r="E87" s="643"/>
      <c r="F87" s="681"/>
      <c r="G87" s="682">
        <v>7179400</v>
      </c>
      <c r="I87" s="659">
        <v>7870288</v>
      </c>
    </row>
    <row r="88" spans="1:14" ht="14.25" x14ac:dyDescent="0.2">
      <c r="B88" s="636" t="s">
        <v>844</v>
      </c>
      <c r="C88" s="637"/>
      <c r="D88" s="70"/>
      <c r="E88" s="70"/>
      <c r="F88" s="679"/>
      <c r="G88" s="680">
        <v>6044817.5700000003</v>
      </c>
      <c r="I88" s="660">
        <v>20484366</v>
      </c>
      <c r="K88" s="617">
        <f>SUM(I88)</f>
        <v>20484366</v>
      </c>
    </row>
    <row r="89" spans="1:14" ht="14.25" x14ac:dyDescent="0.2">
      <c r="B89" s="636" t="s">
        <v>845</v>
      </c>
      <c r="C89" s="637"/>
      <c r="D89" s="70"/>
      <c r="E89" s="70"/>
      <c r="F89" s="679"/>
      <c r="G89" s="680">
        <v>21578005.460000001</v>
      </c>
      <c r="I89" s="638">
        <v>59095350</v>
      </c>
      <c r="K89" s="617">
        <f>SUM(I89)</f>
        <v>59095350</v>
      </c>
    </row>
    <row r="90" spans="1:14" ht="14.25" x14ac:dyDescent="0.2">
      <c r="B90" s="636" t="s">
        <v>846</v>
      </c>
      <c r="C90" s="637"/>
      <c r="E90" s="651"/>
      <c r="F90" s="679"/>
      <c r="G90" s="680">
        <v>40058367.969999999</v>
      </c>
      <c r="I90" s="638">
        <v>222087754.03</v>
      </c>
      <c r="K90" s="617">
        <f>SUM(I90)</f>
        <v>222087754.03</v>
      </c>
    </row>
    <row r="91" spans="1:14" ht="14.25" x14ac:dyDescent="0.2">
      <c r="B91" s="636" t="s">
        <v>847</v>
      </c>
      <c r="C91" s="637"/>
      <c r="D91" s="70"/>
      <c r="E91" s="70"/>
      <c r="F91" s="679"/>
      <c r="G91" s="680">
        <v>0</v>
      </c>
      <c r="I91" s="638">
        <v>600000</v>
      </c>
      <c r="K91" s="617">
        <f>SUM(I91)</f>
        <v>600000</v>
      </c>
    </row>
    <row r="92" spans="1:14" ht="14.25" x14ac:dyDescent="0.2">
      <c r="B92" s="661">
        <v>741</v>
      </c>
      <c r="C92" s="655"/>
      <c r="D92" s="656"/>
      <c r="E92" s="656"/>
      <c r="F92" s="686"/>
      <c r="G92" s="687">
        <v>24564884.629999999</v>
      </c>
      <c r="I92" s="657">
        <v>50707248.560000002</v>
      </c>
      <c r="K92" s="617">
        <f>SUM(I92)</f>
        <v>50707248.560000002</v>
      </c>
    </row>
    <row r="93" spans="1:14" ht="14.25" x14ac:dyDescent="0.2">
      <c r="B93" s="652"/>
      <c r="C93" s="643"/>
      <c r="D93" s="643"/>
      <c r="E93" s="643"/>
      <c r="F93" s="681"/>
      <c r="G93" s="671"/>
      <c r="I93" s="644"/>
    </row>
    <row r="94" spans="1:14" x14ac:dyDescent="0.25">
      <c r="A94" t="s">
        <v>0</v>
      </c>
      <c r="C94" s="610"/>
      <c r="D94" s="610"/>
      <c r="E94" s="610"/>
      <c r="F94" s="673"/>
      <c r="G94" s="674">
        <f>SUM(G62:G92)</f>
        <v>275166958.56</v>
      </c>
      <c r="I94" s="627">
        <f>SUM(I62:I92)</f>
        <v>911313360.41999984</v>
      </c>
    </row>
    <row r="96" spans="1:14" ht="14.25" x14ac:dyDescent="0.2">
      <c r="B96" t="s">
        <v>848</v>
      </c>
      <c r="G96" s="688">
        <f>G60-G94</f>
        <v>0</v>
      </c>
      <c r="H96" s="662"/>
      <c r="I96" s="688">
        <f>I60-I94</f>
        <v>0</v>
      </c>
    </row>
    <row r="97" spans="2:9" x14ac:dyDescent="0.2">
      <c r="H97" s="602" t="s">
        <v>849</v>
      </c>
      <c r="I97" s="731"/>
    </row>
    <row r="99" spans="2:9" x14ac:dyDescent="0.2">
      <c r="G99" s="604"/>
      <c r="H99" s="573"/>
      <c r="I99" s="106"/>
    </row>
    <row r="100" spans="2:9" ht="12.75" x14ac:dyDescent="0.2">
      <c r="B100" t="s">
        <v>850</v>
      </c>
      <c r="D100" t="s">
        <v>851</v>
      </c>
      <c r="E100" t="s">
        <v>852</v>
      </c>
      <c r="G100" s="663">
        <v>491675159.06999999</v>
      </c>
      <c r="I100" s="663">
        <v>52889424.880000003</v>
      </c>
    </row>
    <row r="101" spans="2:9" ht="12.75" x14ac:dyDescent="0.2">
      <c r="C101" s="610"/>
      <c r="D101" s="610"/>
      <c r="E101" s="610" t="s">
        <v>853</v>
      </c>
      <c r="F101" s="610" t="s">
        <v>854</v>
      </c>
      <c r="G101" s="664">
        <v>-459553361.14999998</v>
      </c>
      <c r="I101" s="664">
        <v>0</v>
      </c>
    </row>
    <row r="102" spans="2:9" ht="12.75" x14ac:dyDescent="0.2">
      <c r="B102" t="s">
        <v>855</v>
      </c>
      <c r="G102" s="663">
        <f>SUM(G100:G101)</f>
        <v>32121797.920000017</v>
      </c>
      <c r="I102" s="663">
        <f>SUM(I100:I101)</f>
        <v>52889424.880000003</v>
      </c>
    </row>
    <row r="103" spans="2:9" ht="12.75" x14ac:dyDescent="0.2">
      <c r="G103" s="568"/>
      <c r="I103" s="1"/>
    </row>
    <row r="104" spans="2:9" ht="12.75" x14ac:dyDescent="0.2">
      <c r="G104" s="596"/>
      <c r="I104" s="1"/>
    </row>
    <row r="105" spans="2:9" ht="12.75" x14ac:dyDescent="0.2">
      <c r="B105" t="s">
        <v>928</v>
      </c>
      <c r="G105" s="596"/>
      <c r="I105" s="1"/>
    </row>
    <row r="106" spans="2:9" ht="12.75" x14ac:dyDescent="0.2">
      <c r="B106" t="s">
        <v>926</v>
      </c>
      <c r="G106" s="596"/>
      <c r="I106" s="1"/>
    </row>
    <row r="107" spans="2:9" x14ac:dyDescent="0.2">
      <c r="B107" t="s">
        <v>927</v>
      </c>
    </row>
  </sheetData>
  <mergeCells count="1">
    <mergeCell ref="C50:D50"/>
  </mergeCells>
  <pageMargins left="0.78740157480314965" right="0.35433070866141736" top="0.98425196850393704" bottom="0.98425196850393704" header="0.51181102362204722" footer="0.51181102362204722"/>
  <pageSetup paperSize="9" scale="80" orientation="portrait" r:id="rId1"/>
  <headerFooter alignWithMargins="0"/>
  <rowBreaks count="1" manualBreakCount="1">
    <brk id="50"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9.9978637043366805E-2"/>
    <pageSetUpPr fitToPage="1"/>
  </sheetPr>
  <dimension ref="A1:ABG892"/>
  <sheetViews>
    <sheetView tabSelected="1" topLeftCell="A7" zoomScaleNormal="100" zoomScaleSheetLayoutView="80" workbookViewId="0">
      <pane ySplit="2505" topLeftCell="A394" activePane="bottomLeft"/>
      <selection activeCell="E3" sqref="E3"/>
      <selection pane="bottomLeft" activeCell="E418" sqref="E418"/>
    </sheetView>
  </sheetViews>
  <sheetFormatPr defaultRowHeight="12.75" x14ac:dyDescent="0.2"/>
  <cols>
    <col min="1" max="1" width="11.85546875" style="1" customWidth="1"/>
    <col min="2" max="2" width="92.7109375" style="1" customWidth="1"/>
    <col min="3" max="4" width="23.140625" style="1" bestFit="1" customWidth="1"/>
    <col min="5" max="5" width="24" style="1" customWidth="1"/>
    <col min="6" max="6" width="18.7109375" style="2" hidden="1" customWidth="1"/>
    <col min="7" max="8" width="10.5703125" style="1" customWidth="1"/>
    <col min="9" max="9" width="12.140625" style="1" customWidth="1"/>
    <col min="10" max="10" width="15.7109375" style="1" customWidth="1"/>
    <col min="11" max="11" width="16.140625" style="1" customWidth="1"/>
    <col min="12" max="12" width="9.140625" style="1"/>
    <col min="13" max="13" width="18.85546875" style="1" bestFit="1" customWidth="1"/>
    <col min="14" max="16384" width="9.140625" style="1"/>
  </cols>
  <sheetData>
    <row r="1" spans="1:11" s="375" customFormat="1" ht="50.1" customHeight="1" thickBot="1" x14ac:dyDescent="0.25">
      <c r="A1" s="469" t="s">
        <v>786</v>
      </c>
      <c r="B1" s="470" t="s">
        <v>981</v>
      </c>
      <c r="C1" s="471" t="s">
        <v>780</v>
      </c>
      <c r="D1" s="471" t="s">
        <v>794</v>
      </c>
      <c r="E1" s="471" t="s">
        <v>982</v>
      </c>
      <c r="F1" s="472" t="s">
        <v>776</v>
      </c>
      <c r="G1" s="473" t="s">
        <v>777</v>
      </c>
      <c r="H1" s="473" t="s">
        <v>778</v>
      </c>
      <c r="I1" s="474" t="s">
        <v>782</v>
      </c>
      <c r="J1" s="465" t="s">
        <v>779</v>
      </c>
    </row>
    <row r="2" spans="1:11" s="394" customFormat="1" ht="18" customHeight="1" x14ac:dyDescent="0.25">
      <c r="A2" s="447"/>
      <c r="B2" s="455" t="s">
        <v>775</v>
      </c>
      <c r="C2" s="466"/>
      <c r="D2" s="466"/>
      <c r="E2" s="468"/>
      <c r="F2" s="467"/>
      <c r="G2" s="466"/>
      <c r="H2" s="466"/>
      <c r="I2" s="466"/>
      <c r="J2" s="465"/>
    </row>
    <row r="3" spans="1:11" s="396" customFormat="1" ht="15.75" customHeight="1" x14ac:dyDescent="0.2">
      <c r="A3" s="464"/>
      <c r="B3" s="417" t="s">
        <v>774</v>
      </c>
      <c r="C3" s="440">
        <f>C53</f>
        <v>388416000</v>
      </c>
      <c r="D3" s="440">
        <f>D53</f>
        <v>393127192.01999998</v>
      </c>
      <c r="E3" s="440">
        <f t="shared" ref="E3:I3" si="0">E53</f>
        <v>424587638.06999999</v>
      </c>
      <c r="F3" s="694">
        <f t="shared" si="0"/>
        <v>424587638.06999999</v>
      </c>
      <c r="G3" s="440">
        <f t="shared" si="0"/>
        <v>109.31260248547949</v>
      </c>
      <c r="H3" s="440">
        <f t="shared" si="0"/>
        <v>108.0026125611783</v>
      </c>
      <c r="I3" s="440">
        <f t="shared" si="0"/>
        <v>109.59184252053666</v>
      </c>
      <c r="J3" s="410"/>
    </row>
    <row r="4" spans="1:11" s="396" customFormat="1" ht="15.75" customHeight="1" x14ac:dyDescent="0.2">
      <c r="A4" s="463"/>
      <c r="B4" s="417" t="s">
        <v>707</v>
      </c>
      <c r="C4" s="421">
        <f>C88</f>
        <v>127407541.26000001</v>
      </c>
      <c r="D4" s="421">
        <f>D88</f>
        <v>133637638.64000002</v>
      </c>
      <c r="E4" s="421">
        <f t="shared" ref="E4:I4" si="1">E88</f>
        <v>136159996.74000001</v>
      </c>
      <c r="F4" s="695">
        <f t="shared" si="1"/>
        <v>136159996.74000004</v>
      </c>
      <c r="G4" s="421">
        <f t="shared" si="1"/>
        <v>106.86965260724945</v>
      </c>
      <c r="H4" s="421">
        <f t="shared" si="1"/>
        <v>101.88746084237155</v>
      </c>
      <c r="I4" s="421">
        <f t="shared" si="1"/>
        <v>103.22454284941787</v>
      </c>
      <c r="J4" s="410"/>
    </row>
    <row r="5" spans="1:11" s="396" customFormat="1" ht="15.75" customHeight="1" x14ac:dyDescent="0.2">
      <c r="A5" s="417"/>
      <c r="B5" s="417" t="s">
        <v>627</v>
      </c>
      <c r="C5" s="421">
        <f>C196</f>
        <v>109511899.31</v>
      </c>
      <c r="D5" s="421">
        <f>D196</f>
        <v>57917530</v>
      </c>
      <c r="E5" s="421">
        <f t="shared" ref="E5:I5" si="2">E196</f>
        <v>69794071.890000001</v>
      </c>
      <c r="F5" s="695">
        <f t="shared" si="2"/>
        <v>69794071.890000001</v>
      </c>
      <c r="G5" s="421">
        <f t="shared" si="2"/>
        <v>63.731952719065667</v>
      </c>
      <c r="H5" s="421">
        <f t="shared" si="2"/>
        <v>120.50595370693466</v>
      </c>
      <c r="I5" s="421">
        <f t="shared" si="2"/>
        <v>422.51183073072588</v>
      </c>
      <c r="J5" s="410"/>
    </row>
    <row r="6" spans="1:11" s="396" customFormat="1" ht="15.75" customHeight="1" x14ac:dyDescent="0.2">
      <c r="A6" s="417"/>
      <c r="B6" s="417" t="s">
        <v>773</v>
      </c>
      <c r="C6" s="421">
        <f>C214</f>
        <v>81229895.713500008</v>
      </c>
      <c r="D6" s="421">
        <f>D214</f>
        <v>104950880.22350001</v>
      </c>
      <c r="E6" s="421">
        <f t="shared" ref="E6:I6" si="3">E214</f>
        <v>104935993.12</v>
      </c>
      <c r="F6" s="695">
        <f t="shared" si="3"/>
        <v>104935993.12</v>
      </c>
      <c r="G6" s="421">
        <f t="shared" si="3"/>
        <v>129.1839564710412</v>
      </c>
      <c r="H6" s="421">
        <f t="shared" si="3"/>
        <v>99.985815170422285</v>
      </c>
      <c r="I6" s="421">
        <f t="shared" si="3"/>
        <v>74.763010552899942</v>
      </c>
      <c r="J6" s="410"/>
    </row>
    <row r="7" spans="1:11" s="394" customFormat="1" ht="18" x14ac:dyDescent="0.25">
      <c r="A7" s="462"/>
      <c r="B7" s="461" t="s">
        <v>572</v>
      </c>
      <c r="C7" s="460">
        <f>C301</f>
        <v>706565336.28349996</v>
      </c>
      <c r="D7" s="460">
        <f>D301</f>
        <v>689633240.88349998</v>
      </c>
      <c r="E7" s="460">
        <f t="shared" ref="E7:I7" si="4">E301</f>
        <v>735477699.82000005</v>
      </c>
      <c r="F7" s="487">
        <f t="shared" si="4"/>
        <v>735477699.81999993</v>
      </c>
      <c r="G7" s="460">
        <f t="shared" si="4"/>
        <v>104.09195895295088</v>
      </c>
      <c r="H7" s="460">
        <f t="shared" si="4"/>
        <v>106.64765794609437</v>
      </c>
      <c r="I7" s="460">
        <f t="shared" si="4"/>
        <v>108.76469787517644</v>
      </c>
      <c r="J7" s="452"/>
    </row>
    <row r="8" spans="1:11" s="396" customFormat="1" ht="15.75" thickBot="1" x14ac:dyDescent="0.25">
      <c r="A8" s="459"/>
      <c r="B8" s="459" t="s">
        <v>571</v>
      </c>
      <c r="C8" s="419">
        <f>C303</f>
        <v>195741180.47</v>
      </c>
      <c r="D8" s="419">
        <f>D303</f>
        <v>190545980.47</v>
      </c>
      <c r="E8" s="419">
        <f t="shared" ref="E8:I8" si="5">E303</f>
        <v>-43079352.25</v>
      </c>
      <c r="F8" s="696">
        <f t="shared" si="5"/>
        <v>-43079352.250000007</v>
      </c>
      <c r="G8" s="419">
        <f t="shared" si="5"/>
        <v>-22.008323515042097</v>
      </c>
      <c r="H8" s="419">
        <f t="shared" si="5"/>
        <v>-22.608376279436929</v>
      </c>
      <c r="I8" s="419">
        <f t="shared" si="5"/>
        <v>-1519.964905147983</v>
      </c>
      <c r="J8" s="448"/>
    </row>
    <row r="9" spans="1:11" s="456" customFormat="1" ht="24" thickBot="1" x14ac:dyDescent="0.4">
      <c r="A9" s="458"/>
      <c r="B9" s="324" t="s">
        <v>563</v>
      </c>
      <c r="C9" s="457">
        <f>C313</f>
        <v>902306516.75349998</v>
      </c>
      <c r="D9" s="457">
        <f>D313</f>
        <v>880179221.35350001</v>
      </c>
      <c r="E9" s="557">
        <f t="shared" ref="E9:I9" si="6">E313</f>
        <v>692398347.57000005</v>
      </c>
      <c r="F9" s="730">
        <f t="shared" si="6"/>
        <v>692398347.57000005</v>
      </c>
      <c r="G9" s="457">
        <f t="shared" si="6"/>
        <v>76.736489730923168</v>
      </c>
      <c r="H9" s="457">
        <f t="shared" si="6"/>
        <v>78.665609318209192</v>
      </c>
      <c r="I9" s="457">
        <f t="shared" si="6"/>
        <v>101.96661325810406</v>
      </c>
      <c r="J9" s="580"/>
      <c r="K9" s="754" t="s">
        <v>1090</v>
      </c>
    </row>
    <row r="10" spans="1:11" s="394" customFormat="1" ht="18" x14ac:dyDescent="0.25">
      <c r="A10" s="447"/>
      <c r="B10" s="455" t="s">
        <v>772</v>
      </c>
      <c r="C10" s="453"/>
      <c r="D10" s="453"/>
      <c r="E10" s="445"/>
      <c r="F10" s="690"/>
      <c r="G10" s="475"/>
      <c r="H10" s="475"/>
      <c r="I10" s="475"/>
      <c r="K10" s="452">
        <f>SUM(K11:K12)</f>
        <v>692398347.57000005</v>
      </c>
    </row>
    <row r="11" spans="1:11" s="394" customFormat="1" ht="18" x14ac:dyDescent="0.25">
      <c r="A11" s="447"/>
      <c r="B11" s="451" t="s">
        <v>771</v>
      </c>
      <c r="C11" s="450">
        <f>C50-C12</f>
        <v>640650917.12</v>
      </c>
      <c r="D11" s="450">
        <v>663939206.44000006</v>
      </c>
      <c r="E11" s="476">
        <v>557480333.59000003</v>
      </c>
      <c r="F11" s="691"/>
      <c r="G11" s="478">
        <f>E11/C11*100</f>
        <v>87.017799973831728</v>
      </c>
      <c r="H11" s="478">
        <f>E11/D11*100</f>
        <v>83.965569163956175</v>
      </c>
      <c r="I11" s="478">
        <f>E11/J11*100</f>
        <v>104.54483311867693</v>
      </c>
      <c r="J11" s="452">
        <v>533245227.87</v>
      </c>
      <c r="K11" s="448">
        <f>686498347.57-K12+5900000</f>
        <v>557480333.59000003</v>
      </c>
    </row>
    <row r="12" spans="1:11" s="394" customFormat="1" ht="18.75" customHeight="1" x14ac:dyDescent="0.25">
      <c r="A12" s="447"/>
      <c r="B12" s="451" t="s">
        <v>770</v>
      </c>
      <c r="C12" s="449">
        <v>261655599.63</v>
      </c>
      <c r="D12" s="449">
        <v>216240014.91</v>
      </c>
      <c r="E12" s="476">
        <v>134918013.97999999</v>
      </c>
      <c r="F12" s="692"/>
      <c r="G12" s="478">
        <f>E12/C12*100</f>
        <v>51.563205286179183</v>
      </c>
      <c r="H12" s="478">
        <f>E12/D12*100</f>
        <v>62.392713964690316</v>
      </c>
      <c r="I12" s="478">
        <f>E12/J12*100</f>
        <v>92.537029121874184</v>
      </c>
      <c r="J12" s="452">
        <v>145798946.93000001</v>
      </c>
      <c r="K12" s="448">
        <v>134918013.97999999</v>
      </c>
    </row>
    <row r="13" spans="1:11" s="394" customFormat="1" ht="15.75" customHeight="1" x14ac:dyDescent="0.25">
      <c r="A13" s="447"/>
      <c r="B13" s="446" t="s">
        <v>769</v>
      </c>
      <c r="C13" s="443"/>
      <c r="D13" s="443"/>
      <c r="E13" s="443"/>
      <c r="F13" s="693"/>
      <c r="G13" s="443"/>
      <c r="H13" s="443"/>
      <c r="I13" s="443"/>
    </row>
    <row r="14" spans="1:11" s="394" customFormat="1" ht="18.75" x14ac:dyDescent="0.25">
      <c r="A14" s="442"/>
      <c r="B14" s="441" t="s">
        <v>768</v>
      </c>
      <c r="C14" s="438">
        <f>C316</f>
        <v>47057788.329999998</v>
      </c>
      <c r="D14" s="438">
        <f>D316</f>
        <v>51591620.950000003</v>
      </c>
      <c r="E14" s="438">
        <f t="shared" ref="E14:I14" si="7">E316</f>
        <v>44927714.149999999</v>
      </c>
      <c r="F14" s="698">
        <f t="shared" si="7"/>
        <v>44927714.149999999</v>
      </c>
      <c r="G14" s="438">
        <f t="shared" si="7"/>
        <v>95.473492793451058</v>
      </c>
      <c r="H14" s="438">
        <f t="shared" si="7"/>
        <v>87.083354472505675</v>
      </c>
      <c r="I14" s="438">
        <f t="shared" si="7"/>
        <v>103.6527749452377</v>
      </c>
    </row>
    <row r="15" spans="1:11" s="396" customFormat="1" ht="15.75" customHeight="1" x14ac:dyDescent="0.25">
      <c r="A15" s="427"/>
      <c r="B15" s="437" t="s">
        <v>767</v>
      </c>
      <c r="C15" s="421">
        <f>C317</f>
        <v>1985000</v>
      </c>
      <c r="D15" s="421">
        <f>D317</f>
        <v>1985000</v>
      </c>
      <c r="E15" s="421">
        <f t="shared" ref="E15" si="8">E322</f>
        <v>1010218.58</v>
      </c>
      <c r="F15" s="695"/>
      <c r="G15" s="421">
        <f t="shared" ref="G15:I15" si="9">G322</f>
        <v>68.722352380952373</v>
      </c>
      <c r="H15" s="421">
        <f t="shared" si="9"/>
        <v>68.722352380952373</v>
      </c>
      <c r="I15" s="421">
        <f t="shared" si="9"/>
        <v>65.46073687709378</v>
      </c>
      <c r="J15" s="410"/>
    </row>
    <row r="16" spans="1:11" s="396" customFormat="1" ht="15.75" customHeight="1" x14ac:dyDescent="0.2">
      <c r="A16" s="417"/>
      <c r="B16" s="414" t="s">
        <v>766</v>
      </c>
      <c r="C16" s="421">
        <f>C330</f>
        <v>27050000</v>
      </c>
      <c r="D16" s="421">
        <f>D330</f>
        <v>32279572.620000001</v>
      </c>
      <c r="E16" s="421">
        <f t="shared" ref="E16:I16" si="10">E330</f>
        <v>30319437.59</v>
      </c>
      <c r="F16" s="695">
        <f t="shared" si="10"/>
        <v>30319437.59</v>
      </c>
      <c r="G16" s="421">
        <f t="shared" si="10"/>
        <v>112.08664543438078</v>
      </c>
      <c r="H16" s="421">
        <f t="shared" si="10"/>
        <v>93.927630166994447</v>
      </c>
      <c r="I16" s="421">
        <f t="shared" si="10"/>
        <v>127.32322895334683</v>
      </c>
      <c r="J16" s="410"/>
    </row>
    <row r="17" spans="1:81" s="396" customFormat="1" ht="15.75" customHeight="1" x14ac:dyDescent="0.2">
      <c r="A17" s="414"/>
      <c r="B17" s="414" t="s">
        <v>765</v>
      </c>
      <c r="C17" s="440">
        <f>C350</f>
        <v>2334000</v>
      </c>
      <c r="D17" s="440">
        <f>D350</f>
        <v>2334000</v>
      </c>
      <c r="E17" s="440">
        <f t="shared" ref="E17:I17" si="11">E350</f>
        <v>1588266</v>
      </c>
      <c r="F17" s="694">
        <f t="shared" si="11"/>
        <v>0</v>
      </c>
      <c r="G17" s="440">
        <f t="shared" si="11"/>
        <v>68.049100257069412</v>
      </c>
      <c r="H17" s="440">
        <f t="shared" si="11"/>
        <v>68.049100257069412</v>
      </c>
      <c r="I17" s="440">
        <f t="shared" si="11"/>
        <v>30.180573688684149</v>
      </c>
      <c r="J17" s="410"/>
    </row>
    <row r="18" spans="1:81" s="396" customFormat="1" ht="15.75" customHeight="1" thickBot="1" x14ac:dyDescent="0.25">
      <c r="A18" s="420"/>
      <c r="B18" s="420" t="s">
        <v>764</v>
      </c>
      <c r="C18" s="419">
        <f>C356</f>
        <v>15688788.33</v>
      </c>
      <c r="D18" s="419">
        <f>D356</f>
        <v>14993048.33</v>
      </c>
      <c r="E18" s="419">
        <f t="shared" ref="E18:I18" si="12">E356</f>
        <v>11949551.75</v>
      </c>
      <c r="F18" s="696">
        <f t="shared" si="12"/>
        <v>11949551.750000002</v>
      </c>
      <c r="G18" s="419">
        <f t="shared" si="12"/>
        <v>76.166186315039667</v>
      </c>
      <c r="H18" s="419">
        <f t="shared" si="12"/>
        <v>79.700615158358517</v>
      </c>
      <c r="I18" s="419">
        <f t="shared" si="12"/>
        <v>96.284029322440716</v>
      </c>
      <c r="J18" s="410"/>
    </row>
    <row r="19" spans="1:81" s="396" customFormat="1" ht="18.75" x14ac:dyDescent="0.25">
      <c r="A19" s="414"/>
      <c r="B19" s="439" t="s">
        <v>763</v>
      </c>
      <c r="C19" s="438">
        <f>C383</f>
        <v>114484000</v>
      </c>
      <c r="D19" s="438">
        <f>D383</f>
        <v>74499500</v>
      </c>
      <c r="E19" s="438">
        <f t="shared" ref="E19:I20" si="13">E383</f>
        <v>58559569.43</v>
      </c>
      <c r="F19" s="698">
        <f t="shared" si="13"/>
        <v>58559569.43</v>
      </c>
      <c r="G19" s="438">
        <f t="shared" si="13"/>
        <v>51.150876480556242</v>
      </c>
      <c r="H19" s="438">
        <f t="shared" si="13"/>
        <v>78.603976442794917</v>
      </c>
      <c r="I19" s="438">
        <f t="shared" si="13"/>
        <v>321.31876224264835</v>
      </c>
      <c r="J19" s="394"/>
    </row>
    <row r="20" spans="1:81" s="396" customFormat="1" ht="15.75" customHeight="1" x14ac:dyDescent="0.2">
      <c r="A20" s="417"/>
      <c r="B20" s="437" t="s">
        <v>762</v>
      </c>
      <c r="C20" s="421">
        <f>C384</f>
        <v>5530000</v>
      </c>
      <c r="D20" s="421">
        <f>D384</f>
        <v>4330000</v>
      </c>
      <c r="E20" s="421">
        <f t="shared" si="13"/>
        <v>3474979.5</v>
      </c>
      <c r="F20" s="695">
        <f t="shared" si="13"/>
        <v>3474979.5</v>
      </c>
      <c r="G20" s="421">
        <f t="shared" si="13"/>
        <v>62.838688969258591</v>
      </c>
      <c r="H20" s="421">
        <f t="shared" si="13"/>
        <v>80.253568129330262</v>
      </c>
      <c r="I20" s="421">
        <f t="shared" si="13"/>
        <v>913.84610456796372</v>
      </c>
      <c r="J20" s="410"/>
    </row>
    <row r="21" spans="1:81" s="396" customFormat="1" ht="15.75" customHeight="1" x14ac:dyDescent="0.2">
      <c r="A21" s="417"/>
      <c r="B21" s="414" t="s">
        <v>761</v>
      </c>
      <c r="C21" s="421">
        <f>C394</f>
        <v>38460500</v>
      </c>
      <c r="D21" s="421">
        <f>D394</f>
        <v>38030000</v>
      </c>
      <c r="E21" s="421">
        <f t="shared" ref="E21:I21" si="14">E394</f>
        <v>31864376.84</v>
      </c>
      <c r="F21" s="695">
        <f t="shared" si="14"/>
        <v>31864376.840000004</v>
      </c>
      <c r="G21" s="421">
        <f t="shared" si="14"/>
        <v>82.849616723651536</v>
      </c>
      <c r="H21" s="421">
        <f t="shared" si="14"/>
        <v>83.787475256376538</v>
      </c>
      <c r="I21" s="421">
        <f t="shared" si="14"/>
        <v>263.75992353727992</v>
      </c>
      <c r="J21" s="410"/>
    </row>
    <row r="22" spans="1:81" s="396" customFormat="1" ht="15.75" customHeight="1" x14ac:dyDescent="0.2">
      <c r="A22" s="417"/>
      <c r="B22" s="414" t="s">
        <v>760</v>
      </c>
      <c r="C22" s="421">
        <f>C442</f>
        <v>6295000</v>
      </c>
      <c r="D22" s="421">
        <f>D442</f>
        <v>4095000</v>
      </c>
      <c r="E22" s="421">
        <f t="shared" ref="E22:I22" si="15">E442</f>
        <v>1869803.98</v>
      </c>
      <c r="F22" s="695">
        <f t="shared" si="15"/>
        <v>1869803.98</v>
      </c>
      <c r="G22" s="421">
        <f t="shared" si="15"/>
        <v>29.703002065131056</v>
      </c>
      <c r="H22" s="421">
        <f t="shared" si="15"/>
        <v>45.660658852258848</v>
      </c>
      <c r="I22" s="421">
        <f t="shared" si="15"/>
        <v>101.54631497038665</v>
      </c>
      <c r="J22" s="410"/>
    </row>
    <row r="23" spans="1:81" s="396" customFormat="1" ht="15.75" customHeight="1" x14ac:dyDescent="0.2">
      <c r="A23" s="417"/>
      <c r="B23" s="417" t="s">
        <v>759</v>
      </c>
      <c r="C23" s="421">
        <f>C453</f>
        <v>63726000</v>
      </c>
      <c r="D23" s="421">
        <f>D453</f>
        <v>27872000</v>
      </c>
      <c r="E23" s="421">
        <f t="shared" ref="E23:I23" si="16">E453</f>
        <v>21212262.109999999</v>
      </c>
      <c r="F23" s="695">
        <f t="shared" si="16"/>
        <v>21212262.110000003</v>
      </c>
      <c r="G23" s="421">
        <f t="shared" si="16"/>
        <v>33.286668094655241</v>
      </c>
      <c r="H23" s="421">
        <f t="shared" si="16"/>
        <v>76.105992070895525</v>
      </c>
      <c r="I23" s="421">
        <f t="shared" si="16"/>
        <v>571.52137214432082</v>
      </c>
      <c r="J23" s="410"/>
    </row>
    <row r="24" spans="1:81" s="396" customFormat="1" ht="15.75" customHeight="1" thickBot="1" x14ac:dyDescent="0.25">
      <c r="A24" s="399"/>
      <c r="B24" s="402" t="s">
        <v>758</v>
      </c>
      <c r="C24" s="400">
        <f>C471</f>
        <v>472500</v>
      </c>
      <c r="D24" s="400">
        <f>D471</f>
        <v>172500</v>
      </c>
      <c r="E24" s="400">
        <f t="shared" ref="E24:I24" si="17">E471</f>
        <v>138147</v>
      </c>
      <c r="F24" s="699">
        <f t="shared" si="17"/>
        <v>138147</v>
      </c>
      <c r="G24" s="400">
        <f t="shared" si="17"/>
        <v>29.237460317460318</v>
      </c>
      <c r="H24" s="400">
        <f t="shared" si="17"/>
        <v>80.085217391304354</v>
      </c>
      <c r="I24" s="400">
        <f t="shared" si="17"/>
        <v>65.534629981024679</v>
      </c>
      <c r="J24" s="410"/>
    </row>
    <row r="25" spans="1:81" s="396" customFormat="1" ht="19.5" thickBot="1" x14ac:dyDescent="0.35">
      <c r="A25" s="425"/>
      <c r="B25" s="408" t="s">
        <v>338</v>
      </c>
      <c r="C25" s="407">
        <f>C476</f>
        <v>3640000</v>
      </c>
      <c r="D25" s="407">
        <f>D476</f>
        <v>2714871</v>
      </c>
      <c r="E25" s="407">
        <f t="shared" ref="E25:I25" si="18">E476</f>
        <v>2636838</v>
      </c>
      <c r="F25" s="700">
        <f t="shared" si="18"/>
        <v>2636838</v>
      </c>
      <c r="G25" s="407">
        <f t="shared" si="18"/>
        <v>72.440604395604396</v>
      </c>
      <c r="H25" s="407">
        <f t="shared" si="18"/>
        <v>97.125719785580984</v>
      </c>
      <c r="I25" s="407">
        <f t="shared" si="18"/>
        <v>65.649977420447897</v>
      </c>
    </row>
    <row r="26" spans="1:81" s="434" customFormat="1" ht="19.5" thickBot="1" x14ac:dyDescent="0.35">
      <c r="A26" s="420"/>
      <c r="B26" s="436" t="s">
        <v>757</v>
      </c>
      <c r="C26" s="435">
        <f>C481</f>
        <v>10752956</v>
      </c>
      <c r="D26" s="435">
        <f>D481</f>
        <v>9451752</v>
      </c>
      <c r="E26" s="435">
        <f t="shared" ref="E26:I26" si="19">E481</f>
        <v>8746727.4499999993</v>
      </c>
      <c r="F26" s="696">
        <f t="shared" si="19"/>
        <v>8746727.4500000011</v>
      </c>
      <c r="G26" s="435">
        <f t="shared" si="19"/>
        <v>81.342539205033475</v>
      </c>
      <c r="H26" s="435">
        <f t="shared" si="19"/>
        <v>92.540805662272973</v>
      </c>
      <c r="I26" s="435">
        <f t="shared" si="19"/>
        <v>100.01127943306638</v>
      </c>
      <c r="J26" s="396"/>
    </row>
    <row r="27" spans="1:81" s="396" customFormat="1" ht="19.5" thickBot="1" x14ac:dyDescent="0.35">
      <c r="A27" s="425"/>
      <c r="B27" s="408" t="s">
        <v>329</v>
      </c>
      <c r="C27" s="407">
        <f>C487</f>
        <v>7038417</v>
      </c>
      <c r="D27" s="407">
        <f>D487</f>
        <v>6727658</v>
      </c>
      <c r="E27" s="407">
        <f t="shared" ref="E27:I27" si="20">E487</f>
        <v>6675428</v>
      </c>
      <c r="F27" s="700">
        <f t="shared" si="20"/>
        <v>6675428</v>
      </c>
      <c r="G27" s="407">
        <f t="shared" si="20"/>
        <v>94.842746600549532</v>
      </c>
      <c r="H27" s="407">
        <f t="shared" si="20"/>
        <v>99.223652569735265</v>
      </c>
      <c r="I27" s="407">
        <f t="shared" si="20"/>
        <v>106.31067481848714</v>
      </c>
    </row>
    <row r="28" spans="1:81" s="396" customFormat="1" ht="19.5" thickBot="1" x14ac:dyDescent="0.35">
      <c r="A28" s="399"/>
      <c r="B28" s="433" t="s">
        <v>321</v>
      </c>
      <c r="C28" s="432">
        <f>C497</f>
        <v>112000</v>
      </c>
      <c r="D28" s="432">
        <f>D497</f>
        <v>112000</v>
      </c>
      <c r="E28" s="432">
        <f t="shared" ref="E28:I28" si="21">E497</f>
        <v>47442.95</v>
      </c>
      <c r="F28" s="701">
        <f t="shared" si="21"/>
        <v>47442.95</v>
      </c>
      <c r="G28" s="432">
        <f t="shared" si="21"/>
        <v>42.359776785714281</v>
      </c>
      <c r="H28" s="432">
        <f t="shared" si="21"/>
        <v>42.359776785714281</v>
      </c>
      <c r="I28" s="432">
        <f t="shared" si="21"/>
        <v>92.226099296294848</v>
      </c>
      <c r="J28" s="410"/>
    </row>
    <row r="29" spans="1:81" s="429" customFormat="1" ht="19.5" thickBot="1" x14ac:dyDescent="0.3">
      <c r="A29" s="44"/>
      <c r="B29" s="431" t="s">
        <v>756</v>
      </c>
      <c r="C29" s="430">
        <f>C501</f>
        <v>500000</v>
      </c>
      <c r="D29" s="430">
        <f>D501</f>
        <v>740709.65</v>
      </c>
      <c r="E29" s="430">
        <f t="shared" ref="E29:I29" si="22">E501</f>
        <v>738547.49</v>
      </c>
      <c r="F29" s="702">
        <f t="shared" si="22"/>
        <v>738547.49</v>
      </c>
      <c r="G29" s="430">
        <f t="shared" si="22"/>
        <v>147.709498</v>
      </c>
      <c r="H29" s="430">
        <f t="shared" si="22"/>
        <v>99.708096148065579</v>
      </c>
      <c r="I29" s="430">
        <f t="shared" si="22"/>
        <v>93.999867097698441</v>
      </c>
      <c r="J29" s="410"/>
      <c r="K29" s="396"/>
      <c r="L29" s="396"/>
      <c r="M29" s="396"/>
      <c r="N29" s="396"/>
      <c r="O29" s="396"/>
      <c r="P29" s="396"/>
      <c r="Q29" s="396"/>
      <c r="R29" s="396"/>
      <c r="S29" s="396"/>
      <c r="T29" s="396"/>
      <c r="U29" s="396"/>
      <c r="V29" s="396"/>
      <c r="W29" s="396"/>
      <c r="X29" s="396"/>
      <c r="Y29" s="396"/>
      <c r="Z29" s="396"/>
      <c r="AA29" s="396"/>
      <c r="AB29" s="396"/>
      <c r="AC29" s="396"/>
      <c r="AD29" s="396"/>
      <c r="AE29" s="396"/>
      <c r="AF29" s="396"/>
      <c r="AG29" s="396"/>
      <c r="AH29" s="396"/>
      <c r="AI29" s="396"/>
      <c r="AJ29" s="396"/>
      <c r="AK29" s="396"/>
      <c r="AL29" s="396"/>
      <c r="AM29" s="396"/>
      <c r="AN29" s="396"/>
      <c r="AO29" s="396"/>
      <c r="AP29" s="396"/>
      <c r="AQ29" s="396"/>
      <c r="AR29" s="396"/>
      <c r="AS29" s="396"/>
      <c r="AT29" s="396"/>
      <c r="AU29" s="396"/>
      <c r="AV29" s="396"/>
      <c r="AW29" s="396"/>
      <c r="AX29" s="396"/>
      <c r="AY29" s="396"/>
      <c r="AZ29" s="396"/>
      <c r="BA29" s="396"/>
      <c r="BB29" s="396"/>
      <c r="BC29" s="396"/>
      <c r="BD29" s="396"/>
      <c r="BE29" s="396"/>
      <c r="BF29" s="396"/>
      <c r="BG29" s="396"/>
      <c r="BH29" s="396"/>
      <c r="BI29" s="396"/>
      <c r="BJ29" s="396"/>
      <c r="BK29" s="396"/>
      <c r="BL29" s="396"/>
      <c r="BM29" s="396"/>
      <c r="BN29" s="396"/>
      <c r="BO29" s="396"/>
      <c r="BP29" s="396"/>
      <c r="BQ29" s="396"/>
      <c r="BR29" s="396"/>
      <c r="BS29" s="396"/>
      <c r="BT29" s="396"/>
      <c r="BU29" s="396"/>
      <c r="BV29" s="396"/>
      <c r="BW29" s="396"/>
      <c r="BX29" s="396"/>
      <c r="BY29" s="396"/>
      <c r="BZ29" s="396"/>
      <c r="CA29" s="396"/>
      <c r="CB29" s="396"/>
      <c r="CC29" s="396"/>
    </row>
    <row r="30" spans="1:81" s="396" customFormat="1" ht="18.75" x14ac:dyDescent="0.3">
      <c r="A30" s="428"/>
      <c r="B30" s="398" t="s">
        <v>316</v>
      </c>
      <c r="C30" s="397">
        <f>C504</f>
        <v>165843398.80000001</v>
      </c>
      <c r="D30" s="397">
        <f>D504</f>
        <v>144564618.49000001</v>
      </c>
      <c r="E30" s="397">
        <f t="shared" ref="E30:I31" si="23">E504</f>
        <v>143124638.78999999</v>
      </c>
      <c r="F30" s="694">
        <f t="shared" si="23"/>
        <v>143124638.69</v>
      </c>
      <c r="G30" s="397">
        <f t="shared" si="23"/>
        <v>86.301076693804461</v>
      </c>
      <c r="H30" s="397">
        <f t="shared" si="23"/>
        <v>99.003919690003798</v>
      </c>
      <c r="I30" s="397">
        <f t="shared" si="23"/>
        <v>113.26407396012699</v>
      </c>
    </row>
    <row r="31" spans="1:81" s="396" customFormat="1" ht="15.75" customHeight="1" x14ac:dyDescent="0.25">
      <c r="A31" s="427"/>
      <c r="B31" s="417" t="s">
        <v>755</v>
      </c>
      <c r="C31" s="421">
        <f>C505</f>
        <v>84320582.799999997</v>
      </c>
      <c r="D31" s="421">
        <f>D505</f>
        <v>72524481.810000002</v>
      </c>
      <c r="E31" s="421">
        <f t="shared" si="23"/>
        <v>72511989.859999999</v>
      </c>
      <c r="F31" s="695">
        <f t="shared" si="23"/>
        <v>72511989.859999999</v>
      </c>
      <c r="G31" s="421">
        <f t="shared" si="23"/>
        <v>85.995598526626878</v>
      </c>
      <c r="H31" s="421">
        <f t="shared" si="23"/>
        <v>99.98277554049578</v>
      </c>
      <c r="I31" s="421">
        <f t="shared" si="23"/>
        <v>139.28163058008101</v>
      </c>
      <c r="J31" s="410"/>
    </row>
    <row r="32" spans="1:81" s="396" customFormat="1" ht="15.75" customHeight="1" x14ac:dyDescent="0.2">
      <c r="A32" s="417"/>
      <c r="B32" s="417" t="s">
        <v>754</v>
      </c>
      <c r="C32" s="421">
        <f>C557</f>
        <v>63946000</v>
      </c>
      <c r="D32" s="421">
        <f>D557</f>
        <v>53222851.680000007</v>
      </c>
      <c r="E32" s="421">
        <f t="shared" ref="E32:I32" si="24">E557</f>
        <v>52269026.729999997</v>
      </c>
      <c r="F32" s="695">
        <f t="shared" si="24"/>
        <v>52269026.729999997</v>
      </c>
      <c r="G32" s="421">
        <f t="shared" si="24"/>
        <v>81.73932181840928</v>
      </c>
      <c r="H32" s="421">
        <f t="shared" si="24"/>
        <v>98.207865757109673</v>
      </c>
      <c r="I32" s="421">
        <f t="shared" si="24"/>
        <v>135.74800549522521</v>
      </c>
      <c r="J32" s="410"/>
    </row>
    <row r="33" spans="1:10" s="396" customFormat="1" ht="15.75" customHeight="1" thickBot="1" x14ac:dyDescent="0.25">
      <c r="A33" s="420"/>
      <c r="B33" s="402" t="s">
        <v>753</v>
      </c>
      <c r="C33" s="419">
        <f>C580</f>
        <v>17576816</v>
      </c>
      <c r="D33" s="419">
        <f>D580</f>
        <v>18817285</v>
      </c>
      <c r="E33" s="419">
        <f t="shared" ref="E33:I33" si="25">E580</f>
        <v>18343622.100000001</v>
      </c>
      <c r="F33" s="696">
        <f t="shared" si="25"/>
        <v>18343622.199999999</v>
      </c>
      <c r="G33" s="419">
        <f t="shared" si="25"/>
        <v>104.36259957434839</v>
      </c>
      <c r="H33" s="419">
        <f t="shared" si="25"/>
        <v>97.482830812202721</v>
      </c>
      <c r="I33" s="419">
        <f t="shared" si="25"/>
        <v>51.242318277724287</v>
      </c>
      <c r="J33" s="410"/>
    </row>
    <row r="34" spans="1:10" s="396" customFormat="1" ht="19.5" thickBot="1" x14ac:dyDescent="0.35">
      <c r="A34" s="402"/>
      <c r="B34" s="426" t="s">
        <v>752</v>
      </c>
      <c r="C34" s="411">
        <f>C591</f>
        <v>24084500</v>
      </c>
      <c r="D34" s="411">
        <f>D591</f>
        <v>24224500</v>
      </c>
      <c r="E34" s="411">
        <f t="shared" ref="E34:I34" si="26">E591</f>
        <v>22749930.84</v>
      </c>
      <c r="F34" s="699">
        <f t="shared" si="26"/>
        <v>22749930.84</v>
      </c>
      <c r="G34" s="411">
        <f t="shared" si="26"/>
        <v>94.458804791463393</v>
      </c>
      <c r="H34" s="411">
        <f t="shared" si="26"/>
        <v>93.912901566595792</v>
      </c>
      <c r="I34" s="411">
        <f t="shared" si="26"/>
        <v>94.257933774998904</v>
      </c>
    </row>
    <row r="35" spans="1:10" s="396" customFormat="1" ht="19.5" thickBot="1" x14ac:dyDescent="0.35">
      <c r="A35" s="402"/>
      <c r="B35" s="426" t="s">
        <v>751</v>
      </c>
      <c r="C35" s="411">
        <f>C595</f>
        <v>34895800</v>
      </c>
      <c r="D35" s="411">
        <f>D595</f>
        <v>34705630.560000002</v>
      </c>
      <c r="E35" s="411">
        <f t="shared" ref="E35:I35" si="27">E595</f>
        <v>26056398.27</v>
      </c>
      <c r="F35" s="699">
        <f t="shared" si="27"/>
        <v>26056398.269999996</v>
      </c>
      <c r="G35" s="411">
        <f t="shared" si="27"/>
        <v>74.669152935310265</v>
      </c>
      <c r="H35" s="411">
        <f t="shared" si="27"/>
        <v>75.078302424020265</v>
      </c>
      <c r="I35" s="411">
        <f t="shared" si="27"/>
        <v>102.54365075029681</v>
      </c>
    </row>
    <row r="36" spans="1:10" s="396" customFormat="1" ht="19.5" thickBot="1" x14ac:dyDescent="0.25">
      <c r="A36" s="425"/>
      <c r="B36" s="424" t="s">
        <v>750</v>
      </c>
      <c r="C36" s="423">
        <f>C612</f>
        <v>149365960</v>
      </c>
      <c r="D36" s="423">
        <f>D612</f>
        <v>153561427</v>
      </c>
      <c r="E36" s="423">
        <f t="shared" ref="E36:I36" si="28">E612</f>
        <v>143151123.87</v>
      </c>
      <c r="F36" s="703">
        <f t="shared" si="28"/>
        <v>143151123.87</v>
      </c>
      <c r="G36" s="423">
        <f t="shared" si="28"/>
        <v>95.839188440257743</v>
      </c>
      <c r="H36" s="423">
        <f t="shared" si="28"/>
        <v>93.220756453376794</v>
      </c>
      <c r="I36" s="423">
        <f t="shared" si="28"/>
        <v>104.28297028746512</v>
      </c>
    </row>
    <row r="37" spans="1:10" s="396" customFormat="1" ht="18.75" x14ac:dyDescent="0.3">
      <c r="A37" s="405"/>
      <c r="B37" s="398" t="s">
        <v>214</v>
      </c>
      <c r="C37" s="397">
        <f>C622</f>
        <v>10937288</v>
      </c>
      <c r="D37" s="397">
        <f>D622</f>
        <v>10885956</v>
      </c>
      <c r="E37" s="397">
        <f t="shared" ref="E37:I38" si="29">E622</f>
        <v>9867099.8399999999</v>
      </c>
      <c r="F37" s="694">
        <f t="shared" si="29"/>
        <v>9867099.8399999999</v>
      </c>
      <c r="G37" s="397">
        <f t="shared" si="29"/>
        <v>90.215232880399597</v>
      </c>
      <c r="H37" s="397">
        <f t="shared" si="29"/>
        <v>90.640636798458488</v>
      </c>
      <c r="I37" s="397">
        <f t="shared" si="29"/>
        <v>113.16051643762697</v>
      </c>
      <c r="J37" s="410"/>
    </row>
    <row r="38" spans="1:10" s="396" customFormat="1" ht="16.5" customHeight="1" x14ac:dyDescent="0.2">
      <c r="A38" s="422"/>
      <c r="B38" s="422" t="s">
        <v>749</v>
      </c>
      <c r="C38" s="421">
        <f>C623</f>
        <v>3067000</v>
      </c>
      <c r="D38" s="421">
        <f>D623</f>
        <v>3015668</v>
      </c>
      <c r="E38" s="421">
        <f t="shared" si="29"/>
        <v>2588539.84</v>
      </c>
      <c r="F38" s="695">
        <f t="shared" si="29"/>
        <v>2588539.84</v>
      </c>
      <c r="G38" s="421">
        <f t="shared" si="29"/>
        <v>84.399733941962836</v>
      </c>
      <c r="H38" s="421">
        <f t="shared" si="29"/>
        <v>85.836366602689679</v>
      </c>
      <c r="I38" s="421">
        <f t="shared" si="29"/>
        <v>98.078368377538183</v>
      </c>
      <c r="J38" s="410"/>
    </row>
    <row r="39" spans="1:10" s="396" customFormat="1" ht="16.5" customHeight="1" thickBot="1" x14ac:dyDescent="0.25">
      <c r="A39" s="420"/>
      <c r="B39" s="420" t="s">
        <v>748</v>
      </c>
      <c r="C39" s="419">
        <f>C649</f>
        <v>7870288</v>
      </c>
      <c r="D39" s="419">
        <f>D649</f>
        <v>7870288</v>
      </c>
      <c r="E39" s="419">
        <f t="shared" ref="E39:I39" si="30">E649</f>
        <v>7278560</v>
      </c>
      <c r="F39" s="696">
        <f t="shared" si="30"/>
        <v>7278560</v>
      </c>
      <c r="G39" s="419">
        <f t="shared" si="30"/>
        <v>92.481494959269597</v>
      </c>
      <c r="H39" s="419">
        <f t="shared" si="30"/>
        <v>92.481494959269597</v>
      </c>
      <c r="I39" s="419">
        <f t="shared" si="30"/>
        <v>119.70717253611002</v>
      </c>
    </row>
    <row r="40" spans="1:10" s="396" customFormat="1" ht="18.75" x14ac:dyDescent="0.3">
      <c r="A40" s="405"/>
      <c r="B40" s="418" t="s">
        <v>747</v>
      </c>
      <c r="C40" s="403">
        <f>C660</f>
        <v>13505100</v>
      </c>
      <c r="D40" s="403">
        <f>D660</f>
        <v>20952447</v>
      </c>
      <c r="E40" s="403">
        <f t="shared" ref="E40:I40" si="31">E660</f>
        <v>15420188.73</v>
      </c>
      <c r="F40" s="704">
        <f t="shared" si="31"/>
        <v>15420188.73</v>
      </c>
      <c r="G40" s="403">
        <f t="shared" si="31"/>
        <v>114.18048537219275</v>
      </c>
      <c r="H40" s="403">
        <f t="shared" si="31"/>
        <v>73.596123307220395</v>
      </c>
      <c r="I40" s="403">
        <f t="shared" si="31"/>
        <v>121.66266676878526</v>
      </c>
    </row>
    <row r="41" spans="1:10" s="396" customFormat="1" ht="16.5" customHeight="1" x14ac:dyDescent="0.2">
      <c r="A41" s="417"/>
      <c r="B41" s="416" t="s">
        <v>746</v>
      </c>
      <c r="C41" s="734">
        <f t="shared" ref="C41:I43" si="32">C662</f>
        <v>6835500</v>
      </c>
      <c r="D41" s="734">
        <f t="shared" si="32"/>
        <v>10861890</v>
      </c>
      <c r="E41" s="734">
        <f t="shared" si="32"/>
        <v>7602306.3700000001</v>
      </c>
      <c r="F41" s="735">
        <f t="shared" si="32"/>
        <v>0</v>
      </c>
      <c r="G41" s="734">
        <f t="shared" si="32"/>
        <v>111.21799970740985</v>
      </c>
      <c r="H41" s="734">
        <f t="shared" si="32"/>
        <v>69.990640394995722</v>
      </c>
      <c r="I41" s="734">
        <f t="shared" si="32"/>
        <v>125.05608494964579</v>
      </c>
    </row>
    <row r="42" spans="1:10" s="396" customFormat="1" ht="16.5" customHeight="1" x14ac:dyDescent="0.2">
      <c r="A42" s="414"/>
      <c r="B42" s="413" t="s">
        <v>745</v>
      </c>
      <c r="C42" s="440">
        <f t="shared" si="32"/>
        <v>1739300</v>
      </c>
      <c r="D42" s="440">
        <f t="shared" si="32"/>
        <v>2674275</v>
      </c>
      <c r="E42" s="440">
        <f t="shared" si="32"/>
        <v>2226348.4700000002</v>
      </c>
      <c r="F42" s="736">
        <f t="shared" si="32"/>
        <v>0</v>
      </c>
      <c r="G42" s="440">
        <f t="shared" si="32"/>
        <v>128.00255677571437</v>
      </c>
      <c r="H42" s="440">
        <f t="shared" si="32"/>
        <v>83.250543418309647</v>
      </c>
      <c r="I42" s="440">
        <f t="shared" si="32"/>
        <v>161.7767125955358</v>
      </c>
    </row>
    <row r="43" spans="1:10" s="396" customFormat="1" ht="16.5" customHeight="1" thickBot="1" x14ac:dyDescent="0.25">
      <c r="A43" s="402"/>
      <c r="B43" s="412" t="s">
        <v>744</v>
      </c>
      <c r="C43" s="400">
        <f t="shared" si="32"/>
        <v>4930300</v>
      </c>
      <c r="D43" s="400">
        <f t="shared" si="32"/>
        <v>7416282</v>
      </c>
      <c r="E43" s="400">
        <f t="shared" si="32"/>
        <v>5591533.8899999997</v>
      </c>
      <c r="F43" s="737">
        <f t="shared" si="32"/>
        <v>0</v>
      </c>
      <c r="G43" s="400">
        <f t="shared" si="32"/>
        <v>113.41163600592255</v>
      </c>
      <c r="H43" s="400">
        <f t="shared" si="32"/>
        <v>75.395378573792087</v>
      </c>
      <c r="I43" s="400">
        <f t="shared" si="32"/>
        <v>107.13308712600924</v>
      </c>
      <c r="J43" s="410"/>
    </row>
    <row r="44" spans="1:10" s="396" customFormat="1" ht="18.75" x14ac:dyDescent="0.3">
      <c r="A44" s="732"/>
      <c r="B44" s="404" t="s">
        <v>176</v>
      </c>
      <c r="C44" s="403">
        <f>C666</f>
        <v>58483000</v>
      </c>
      <c r="D44" s="403">
        <f>D666</f>
        <v>48709145.5</v>
      </c>
      <c r="E44" s="403">
        <f t="shared" ref="E44:I44" si="33">E666</f>
        <v>45649097.390000001</v>
      </c>
      <c r="F44" s="704">
        <f t="shared" si="33"/>
        <v>45649097.390000001</v>
      </c>
      <c r="G44" s="403">
        <f t="shared" si="33"/>
        <v>78.05532785595814</v>
      </c>
      <c r="H44" s="403">
        <f t="shared" si="33"/>
        <v>93.717713422010249</v>
      </c>
      <c r="I44" s="403">
        <f t="shared" si="33"/>
        <v>95.779600111935466</v>
      </c>
    </row>
    <row r="45" spans="1:10" s="396" customFormat="1" ht="15.75" customHeight="1" thickBot="1" x14ac:dyDescent="0.25">
      <c r="A45" s="402"/>
      <c r="B45" s="401" t="s">
        <v>977</v>
      </c>
      <c r="C45" s="400">
        <f>C688</f>
        <v>0</v>
      </c>
      <c r="D45" s="400">
        <f t="shared" ref="D45:I45" si="34">D688</f>
        <v>300000</v>
      </c>
      <c r="E45" s="400">
        <f t="shared" si="34"/>
        <v>57832</v>
      </c>
      <c r="F45" s="699">
        <f t="shared" si="34"/>
        <v>57832</v>
      </c>
      <c r="G45" s="400">
        <f t="shared" si="34"/>
        <v>0</v>
      </c>
      <c r="H45" s="400">
        <f t="shared" si="34"/>
        <v>19.277333333333331</v>
      </c>
      <c r="I45" s="400">
        <f t="shared" si="34"/>
        <v>0</v>
      </c>
      <c r="J45" s="201"/>
    </row>
    <row r="46" spans="1:10" s="396" customFormat="1" ht="18.75" customHeight="1" thickBot="1" x14ac:dyDescent="0.35">
      <c r="A46" s="409"/>
      <c r="B46" s="408" t="s">
        <v>743</v>
      </c>
      <c r="C46" s="407">
        <f>C692</f>
        <v>224822000</v>
      </c>
      <c r="D46" s="407">
        <f>D692</f>
        <v>205758852.30000001</v>
      </c>
      <c r="E46" s="407">
        <f t="shared" ref="E46:I46" si="35">E692</f>
        <v>124882405.56</v>
      </c>
      <c r="F46" s="700">
        <f t="shared" si="35"/>
        <v>124882405.56</v>
      </c>
      <c r="G46" s="407">
        <f t="shared" si="35"/>
        <v>55.54723539511258</v>
      </c>
      <c r="H46" s="407">
        <f t="shared" si="35"/>
        <v>60.693576079010811</v>
      </c>
      <c r="I46" s="407">
        <f t="shared" si="35"/>
        <v>68.90672887096126</v>
      </c>
      <c r="J46" s="406"/>
    </row>
    <row r="47" spans="1:10" s="396" customFormat="1" ht="19.5" customHeight="1" x14ac:dyDescent="0.3">
      <c r="A47" s="405"/>
      <c r="B47" s="404" t="s">
        <v>30</v>
      </c>
      <c r="C47" s="403">
        <f>C838</f>
        <v>600000</v>
      </c>
      <c r="D47" s="403">
        <f>D838</f>
        <v>550000</v>
      </c>
      <c r="E47" s="403">
        <f t="shared" ref="E47:I47" si="36">E838</f>
        <v>102730</v>
      </c>
      <c r="F47" s="704">
        <f t="shared" si="36"/>
        <v>102730</v>
      </c>
      <c r="G47" s="403">
        <f t="shared" si="36"/>
        <v>17.121666666666666</v>
      </c>
      <c r="H47" s="403">
        <f t="shared" si="36"/>
        <v>18.67818181818182</v>
      </c>
      <c r="I47" s="403">
        <f t="shared" si="36"/>
        <v>27.527264398182133</v>
      </c>
      <c r="J47" s="375"/>
    </row>
    <row r="48" spans="1:10" s="396" customFormat="1" ht="15.75" customHeight="1" thickBot="1" x14ac:dyDescent="0.25">
      <c r="A48" s="402"/>
      <c r="B48" s="401" t="s">
        <v>742</v>
      </c>
      <c r="C48" s="400">
        <f>C846</f>
        <v>0</v>
      </c>
      <c r="D48" s="400">
        <f>D846</f>
        <v>0</v>
      </c>
      <c r="E48" s="400">
        <f t="shared" ref="E48:F48" si="37">E846</f>
        <v>0</v>
      </c>
      <c r="F48" s="699">
        <f t="shared" si="37"/>
        <v>0</v>
      </c>
      <c r="G48" s="400">
        <v>0</v>
      </c>
      <c r="H48" s="400">
        <v>0</v>
      </c>
      <c r="I48" s="400">
        <v>0</v>
      </c>
      <c r="J48" s="201"/>
    </row>
    <row r="49" spans="1:10" s="396" customFormat="1" ht="19.5" thickBot="1" x14ac:dyDescent="0.35">
      <c r="A49" s="399"/>
      <c r="B49" s="398" t="s">
        <v>20</v>
      </c>
      <c r="C49" s="397">
        <f>C849</f>
        <v>36184308.620000005</v>
      </c>
      <c r="D49" s="397">
        <f>D849</f>
        <v>90428532.900000006</v>
      </c>
      <c r="E49" s="397">
        <f t="shared" ref="E49:I49" si="38">E849</f>
        <v>39062466.810000002</v>
      </c>
      <c r="F49" s="694">
        <f t="shared" si="38"/>
        <v>39062466.810000002</v>
      </c>
      <c r="G49" s="397">
        <f t="shared" si="38"/>
        <v>107.95416107082715</v>
      </c>
      <c r="H49" s="397">
        <f t="shared" si="38"/>
        <v>43.197059110974472</v>
      </c>
      <c r="I49" s="397">
        <f t="shared" si="38"/>
        <v>115.72959703009845</v>
      </c>
      <c r="J49" s="201"/>
    </row>
    <row r="50" spans="1:10" s="394" customFormat="1" ht="23.25" customHeight="1" thickBot="1" x14ac:dyDescent="0.35">
      <c r="A50" s="395"/>
      <c r="B50" s="139" t="s">
        <v>0</v>
      </c>
      <c r="C50" s="176">
        <f>C876</f>
        <v>902306516.75</v>
      </c>
      <c r="D50" s="176">
        <f>D876</f>
        <v>880179221.35000002</v>
      </c>
      <c r="E50" s="176">
        <f t="shared" ref="E50:I50" si="39">E876</f>
        <v>692398347.57000005</v>
      </c>
      <c r="F50" s="697">
        <f t="shared" si="39"/>
        <v>692398347.56999993</v>
      </c>
      <c r="G50" s="176">
        <f t="shared" si="39"/>
        <v>76.736489731220829</v>
      </c>
      <c r="H50" s="176">
        <f t="shared" si="39"/>
        <v>78.665609318522002</v>
      </c>
      <c r="I50" s="176">
        <f t="shared" si="39"/>
        <v>101.96661325810406</v>
      </c>
      <c r="J50" s="14"/>
    </row>
    <row r="51" spans="1:10" s="394" customFormat="1" ht="23.25" customHeight="1" thickBot="1" x14ac:dyDescent="0.35">
      <c r="A51" s="395"/>
      <c r="B51" s="139"/>
      <c r="C51" s="177"/>
      <c r="D51" s="177"/>
      <c r="E51" s="391"/>
      <c r="F51" s="390"/>
      <c r="G51" s="389"/>
      <c r="H51" s="389"/>
      <c r="I51" s="389"/>
      <c r="J51" s="201"/>
    </row>
    <row r="52" spans="1:10" s="375" customFormat="1" ht="22.5" customHeight="1" thickBot="1" x14ac:dyDescent="0.35">
      <c r="A52" s="393"/>
      <c r="B52" s="392" t="s">
        <v>741</v>
      </c>
      <c r="C52" s="389"/>
      <c r="D52" s="389"/>
      <c r="E52" s="189"/>
      <c r="F52" s="390"/>
      <c r="G52" s="479"/>
      <c r="H52" s="479"/>
      <c r="I52" s="479"/>
      <c r="J52" s="201"/>
    </row>
    <row r="53" spans="1:10" s="564" customFormat="1" ht="18.75" thickBot="1" x14ac:dyDescent="0.3">
      <c r="A53" s="388"/>
      <c r="B53" s="560" t="s">
        <v>740</v>
      </c>
      <c r="C53" s="561">
        <f>SUM(C54:C66,C70,C73:C75,C82:C86)</f>
        <v>388416000</v>
      </c>
      <c r="D53" s="561">
        <f>SUM(D54:D66,D70,D73:D75,D82:D86)</f>
        <v>393127192.01999998</v>
      </c>
      <c r="E53" s="562">
        <v>424587638.06999999</v>
      </c>
      <c r="F53" s="563">
        <f>SUM(E54:E66,E70,E73:E75,E82:E86)</f>
        <v>424587638.06999999</v>
      </c>
      <c r="G53" s="550">
        <f>E53/C53*100</f>
        <v>109.31260248547949</v>
      </c>
      <c r="H53" s="550">
        <f>E53/D53*100</f>
        <v>108.0026125611783</v>
      </c>
      <c r="I53" s="550">
        <f>E53/J53*100</f>
        <v>109.59184252053666</v>
      </c>
      <c r="J53" s="568">
        <v>387426315.95999998</v>
      </c>
    </row>
    <row r="54" spans="1:10" s="220" customFormat="1" ht="12.75" customHeight="1" x14ac:dyDescent="0.2">
      <c r="A54" s="138">
        <v>1111</v>
      </c>
      <c r="B54" s="386" t="s">
        <v>739</v>
      </c>
      <c r="C54" s="120">
        <f>(85460000-83860000)/2+83860000</f>
        <v>84660000</v>
      </c>
      <c r="D54" s="120">
        <f>((85460000-83860000)/2+83860000)-29857260</f>
        <v>54802740</v>
      </c>
      <c r="E54" s="120">
        <v>58028357.740000002</v>
      </c>
      <c r="F54" s="126"/>
      <c r="G54" s="120">
        <f>E54/C54*100</f>
        <v>68.542827474604309</v>
      </c>
      <c r="H54" s="120">
        <f>E54/D54*100</f>
        <v>105.88586946565081</v>
      </c>
      <c r="I54" s="120">
        <f t="shared" ref="I54:I68" si="40">E54/J54*100</f>
        <v>74.212587751877805</v>
      </c>
      <c r="J54" s="14">
        <v>78192068.890000001</v>
      </c>
    </row>
    <row r="55" spans="1:10" s="3" customFormat="1" ht="12.75" customHeight="1" x14ac:dyDescent="0.2">
      <c r="A55" s="124">
        <v>1111</v>
      </c>
      <c r="B55" s="184" t="s">
        <v>738</v>
      </c>
      <c r="C55" s="120">
        <f>(8650000-8490000)/2+8490000</f>
        <v>8570000</v>
      </c>
      <c r="D55" s="120">
        <f>((8650000-8490000)/2+8490000)-3427100</f>
        <v>5142900</v>
      </c>
      <c r="E55" s="187">
        <v>5389622.9100000001</v>
      </c>
      <c r="F55" s="480"/>
      <c r="G55" s="120">
        <f>E55/C55*100</f>
        <v>62.889415519253212</v>
      </c>
      <c r="H55" s="120">
        <f t="shared" ref="H55:H68" si="41">E55/D55*100</f>
        <v>104.79734993875051</v>
      </c>
      <c r="I55" s="120">
        <f t="shared" si="40"/>
        <v>68.004685767399479</v>
      </c>
      <c r="J55" s="14">
        <v>7925369.9199999999</v>
      </c>
    </row>
    <row r="56" spans="1:10" s="3" customFormat="1" ht="12.75" customHeight="1" x14ac:dyDescent="0.2">
      <c r="A56" s="124">
        <v>1112</v>
      </c>
      <c r="B56" s="184" t="s">
        <v>737</v>
      </c>
      <c r="C56" s="120">
        <f>(1280000-1140000)/2+1140000</f>
        <v>1210000</v>
      </c>
      <c r="D56" s="120">
        <f>((1280000-1140000)/2+1140000)+406600</f>
        <v>1616600</v>
      </c>
      <c r="E56" s="121">
        <v>3872628.07</v>
      </c>
      <c r="F56" s="130"/>
      <c r="G56" s="120">
        <f t="shared" ref="G56:G86" si="42">E56/C56*100</f>
        <v>320.05190661157019</v>
      </c>
      <c r="H56" s="120">
        <f t="shared" si="41"/>
        <v>239.55388284052947</v>
      </c>
      <c r="I56" s="120">
        <f t="shared" si="40"/>
        <v>298.20059277006254</v>
      </c>
      <c r="J56" s="14">
        <v>1298665.45</v>
      </c>
    </row>
    <row r="57" spans="1:10" s="3" customFormat="1" ht="12.75" customHeight="1" x14ac:dyDescent="0.2">
      <c r="A57" s="124">
        <v>1113</v>
      </c>
      <c r="B57" s="184" t="s">
        <v>736</v>
      </c>
      <c r="C57" s="120">
        <v>8425000</v>
      </c>
      <c r="D57" s="120">
        <f>8425000-18680</f>
        <v>8406320</v>
      </c>
      <c r="E57" s="121">
        <v>10043213.15</v>
      </c>
      <c r="F57" s="130"/>
      <c r="G57" s="120">
        <f t="shared" si="42"/>
        <v>119.20727774480713</v>
      </c>
      <c r="H57" s="120">
        <f t="shared" si="41"/>
        <v>119.4721727224279</v>
      </c>
      <c r="I57" s="120">
        <f t="shared" si="40"/>
        <v>126.81544394011898</v>
      </c>
      <c r="J57" s="14">
        <v>7919550.5199999996</v>
      </c>
    </row>
    <row r="58" spans="1:10" s="3" customFormat="1" ht="12.75" customHeight="1" x14ac:dyDescent="0.2">
      <c r="A58" s="124">
        <v>1121</v>
      </c>
      <c r="B58" s="184" t="s">
        <v>735</v>
      </c>
      <c r="C58" s="120">
        <f>(50430000-49560000)/2+49560000</f>
        <v>49995000</v>
      </c>
      <c r="D58" s="120">
        <f>((50430000-49560000)/2+49560000)+4322760+15000000</f>
        <v>69317760</v>
      </c>
      <c r="E58" s="121">
        <v>84736315.569999993</v>
      </c>
      <c r="F58" s="130"/>
      <c r="G58" s="120">
        <f t="shared" si="42"/>
        <v>169.48958009800978</v>
      </c>
      <c r="H58" s="120">
        <f t="shared" si="41"/>
        <v>122.24329748970537</v>
      </c>
      <c r="I58" s="120">
        <f t="shared" si="40"/>
        <v>142.99077513289461</v>
      </c>
      <c r="J58" s="14">
        <v>59259987.57</v>
      </c>
    </row>
    <row r="59" spans="1:10" s="3" customFormat="1" ht="12.75" customHeight="1" x14ac:dyDescent="0.2">
      <c r="A59" s="124">
        <v>1122</v>
      </c>
      <c r="B59" s="184" t="s">
        <v>734</v>
      </c>
      <c r="C59" s="121">
        <v>23000000</v>
      </c>
      <c r="D59" s="121">
        <f>23000000-1962450+(1962450-1962250)</f>
        <v>21037750</v>
      </c>
      <c r="E59" s="121">
        <v>21037750</v>
      </c>
      <c r="F59" s="130"/>
      <c r="G59" s="120">
        <f t="shared" si="42"/>
        <v>91.468478260869574</v>
      </c>
      <c r="H59" s="120">
        <f t="shared" si="41"/>
        <v>100</v>
      </c>
      <c r="I59" s="120">
        <f t="shared" si="40"/>
        <v>95.557204870849986</v>
      </c>
      <c r="J59" s="14">
        <v>22015870</v>
      </c>
    </row>
    <row r="60" spans="1:10" s="3" customFormat="1" ht="12.75" customHeight="1" x14ac:dyDescent="0.2">
      <c r="A60" s="124">
        <v>1211</v>
      </c>
      <c r="B60" s="184" t="s">
        <v>733</v>
      </c>
      <c r="C60" s="120">
        <f>(168370000-160100000)/2+160100000</f>
        <v>164235000</v>
      </c>
      <c r="D60" s="120">
        <f>((168370000-160100000)/2+160100000)+22643960</f>
        <v>186878960</v>
      </c>
      <c r="E60" s="170">
        <v>189516994.59999999</v>
      </c>
      <c r="F60" s="295"/>
      <c r="G60" s="120">
        <f t="shared" si="42"/>
        <v>115.39379218802326</v>
      </c>
      <c r="H60" s="120">
        <f t="shared" si="41"/>
        <v>101.4116273977552</v>
      </c>
      <c r="I60" s="120">
        <f t="shared" si="40"/>
        <v>116.52071067509289</v>
      </c>
      <c r="J60" s="14">
        <v>162646617.5</v>
      </c>
    </row>
    <row r="61" spans="1:10" s="3" customFormat="1" ht="12.75" customHeight="1" x14ac:dyDescent="0.2">
      <c r="A61" s="124">
        <v>1334</v>
      </c>
      <c r="B61" s="184" t="s">
        <v>732</v>
      </c>
      <c r="C61" s="120">
        <v>50000</v>
      </c>
      <c r="D61" s="120">
        <f>50000+28054.2</f>
        <v>78054.2</v>
      </c>
      <c r="E61" s="121">
        <v>88620.5</v>
      </c>
      <c r="F61" s="130"/>
      <c r="G61" s="120">
        <f t="shared" si="42"/>
        <v>177.24100000000001</v>
      </c>
      <c r="H61" s="120">
        <f t="shared" si="41"/>
        <v>113.53713189040437</v>
      </c>
      <c r="I61" s="120">
        <f>E61/J61*100</f>
        <v>16.482643755015953</v>
      </c>
      <c r="J61" s="14">
        <v>537659.5</v>
      </c>
    </row>
    <row r="62" spans="1:10" s="3" customFormat="1" ht="12.75" customHeight="1" x14ac:dyDescent="0.2">
      <c r="A62" s="124">
        <v>1335</v>
      </c>
      <c r="B62" s="184" t="s">
        <v>731</v>
      </c>
      <c r="C62" s="120">
        <v>5000</v>
      </c>
      <c r="D62" s="120">
        <f>5000+15000</f>
        <v>20000</v>
      </c>
      <c r="E62" s="121">
        <v>26278.04</v>
      </c>
      <c r="F62" s="130"/>
      <c r="G62" s="120">
        <f t="shared" si="42"/>
        <v>525.56080000000009</v>
      </c>
      <c r="H62" s="120">
        <f t="shared" si="41"/>
        <v>131.39020000000002</v>
      </c>
      <c r="I62" s="120">
        <f>E62/J62*100</f>
        <v>84.617088774712414</v>
      </c>
      <c r="J62" s="14">
        <v>31055.24</v>
      </c>
    </row>
    <row r="63" spans="1:10" s="3" customFormat="1" ht="12.75" customHeight="1" x14ac:dyDescent="0.2">
      <c r="A63" s="124">
        <v>1336</v>
      </c>
      <c r="B63" s="184" t="s">
        <v>730</v>
      </c>
      <c r="C63" s="120">
        <v>0</v>
      </c>
      <c r="D63" s="120">
        <f>2800</f>
        <v>2800</v>
      </c>
      <c r="E63" s="121">
        <v>2800</v>
      </c>
      <c r="F63" s="130"/>
      <c r="G63" s="120">
        <v>0</v>
      </c>
      <c r="H63" s="120">
        <v>0</v>
      </c>
      <c r="I63" s="120">
        <f t="shared" si="40"/>
        <v>100</v>
      </c>
      <c r="J63" s="6">
        <v>2800</v>
      </c>
    </row>
    <row r="64" spans="1:10" s="3" customFormat="1" ht="26.25" customHeight="1" x14ac:dyDescent="0.2">
      <c r="A64" s="124">
        <v>1340</v>
      </c>
      <c r="B64" s="203" t="s">
        <v>729</v>
      </c>
      <c r="C64" s="121">
        <v>13000000</v>
      </c>
      <c r="D64" s="121">
        <v>13000000</v>
      </c>
      <c r="E64" s="121">
        <v>12558783.23</v>
      </c>
      <c r="F64" s="130"/>
      <c r="G64" s="120">
        <f t="shared" si="42"/>
        <v>96.606024846153844</v>
      </c>
      <c r="H64" s="120">
        <f t="shared" si="41"/>
        <v>96.606024846153844</v>
      </c>
      <c r="I64" s="120">
        <f t="shared" si="40"/>
        <v>100.10533041645009</v>
      </c>
      <c r="J64" s="6">
        <v>12545568.93</v>
      </c>
    </row>
    <row r="65" spans="1:31" s="3" customFormat="1" ht="12.75" customHeight="1" x14ac:dyDescent="0.2">
      <c r="A65" s="124">
        <v>1341</v>
      </c>
      <c r="B65" s="184" t="s">
        <v>728</v>
      </c>
      <c r="C65" s="120">
        <v>650000</v>
      </c>
      <c r="D65" s="120">
        <v>650000</v>
      </c>
      <c r="E65" s="121">
        <v>625946.17000000004</v>
      </c>
      <c r="F65" s="130"/>
      <c r="G65" s="120">
        <f t="shared" si="42"/>
        <v>96.299410769230775</v>
      </c>
      <c r="H65" s="120">
        <f t="shared" si="41"/>
        <v>96.299410769230775</v>
      </c>
      <c r="I65" s="120">
        <f t="shared" si="40"/>
        <v>97.349058269043994</v>
      </c>
      <c r="J65" s="6">
        <v>642991.5</v>
      </c>
    </row>
    <row r="66" spans="1:31" s="3" customFormat="1" ht="12.75" customHeight="1" x14ac:dyDescent="0.2">
      <c r="A66" s="124">
        <v>1343</v>
      </c>
      <c r="B66" s="184" t="s">
        <v>727</v>
      </c>
      <c r="C66" s="170">
        <f>SUM(C67:C69)</f>
        <v>385000</v>
      </c>
      <c r="D66" s="170">
        <f>SUM(D67:D69)</f>
        <v>295000</v>
      </c>
      <c r="E66" s="121">
        <v>516405</v>
      </c>
      <c r="F66" s="130">
        <f>SUM(E67:E69)</f>
        <v>516405</v>
      </c>
      <c r="G66" s="120">
        <f t="shared" si="42"/>
        <v>134.13116883116882</v>
      </c>
      <c r="H66" s="120">
        <f t="shared" si="41"/>
        <v>175.05254237288136</v>
      </c>
      <c r="I66" s="120">
        <f t="shared" si="40"/>
        <v>157.12027251766673</v>
      </c>
      <c r="J66" s="14">
        <v>328668.59999999998</v>
      </c>
    </row>
    <row r="67" spans="1:31" ht="12.75" customHeight="1" x14ac:dyDescent="0.2">
      <c r="A67" s="132"/>
      <c r="B67" s="185" t="s">
        <v>726</v>
      </c>
      <c r="C67" s="126">
        <v>300000</v>
      </c>
      <c r="D67" s="126">
        <f>300000-90000</f>
        <v>210000</v>
      </c>
      <c r="E67" s="130">
        <v>310436</v>
      </c>
      <c r="F67" s="130"/>
      <c r="G67" s="126">
        <f t="shared" si="42"/>
        <v>103.47866666666667</v>
      </c>
      <c r="H67" s="126">
        <f t="shared" si="41"/>
        <v>147.82666666666665</v>
      </c>
      <c r="I67" s="126">
        <f t="shared" si="40"/>
        <v>155.60077791366763</v>
      </c>
      <c r="J67" s="14">
        <v>199508</v>
      </c>
    </row>
    <row r="68" spans="1:31" ht="12.75" customHeight="1" x14ac:dyDescent="0.2">
      <c r="A68" s="132"/>
      <c r="B68" s="185" t="s">
        <v>725</v>
      </c>
      <c r="C68" s="126">
        <v>60000</v>
      </c>
      <c r="D68" s="126">
        <v>60000</v>
      </c>
      <c r="E68" s="130">
        <v>61859</v>
      </c>
      <c r="F68" s="130"/>
      <c r="G68" s="126">
        <f t="shared" si="42"/>
        <v>103.09833333333333</v>
      </c>
      <c r="H68" s="126">
        <f t="shared" si="41"/>
        <v>103.09833333333333</v>
      </c>
      <c r="I68" s="126">
        <f t="shared" si="40"/>
        <v>62.603480591190433</v>
      </c>
      <c r="J68" s="14">
        <v>98810.8</v>
      </c>
    </row>
    <row r="69" spans="1:31" ht="12.75" customHeight="1" x14ac:dyDescent="0.2">
      <c r="A69" s="132"/>
      <c r="B69" s="185" t="s">
        <v>724</v>
      </c>
      <c r="C69" s="126">
        <v>25000</v>
      </c>
      <c r="D69" s="126">
        <v>25000</v>
      </c>
      <c r="E69" s="295">
        <v>144110</v>
      </c>
      <c r="F69" s="295"/>
      <c r="G69" s="126">
        <f t="shared" si="42"/>
        <v>576.44000000000005</v>
      </c>
      <c r="H69" s="126">
        <f>E69/D69*100</f>
        <v>576.44000000000005</v>
      </c>
      <c r="I69" s="126">
        <f>E69/J69*100</f>
        <v>474.82701812191107</v>
      </c>
      <c r="J69" s="6">
        <v>30350</v>
      </c>
    </row>
    <row r="70" spans="1:31" s="220" customFormat="1" ht="25.5" customHeight="1" x14ac:dyDescent="0.2">
      <c r="A70" s="20">
        <v>1346</v>
      </c>
      <c r="B70" s="385" t="s">
        <v>723</v>
      </c>
      <c r="C70" s="120">
        <f>SUM(C71:C72)</f>
        <v>95000</v>
      </c>
      <c r="D70" s="120">
        <f>SUM(D71:D72)</f>
        <v>122041</v>
      </c>
      <c r="E70" s="121">
        <v>174338</v>
      </c>
      <c r="F70" s="130">
        <f>SUM(E71:E72)</f>
        <v>174338</v>
      </c>
      <c r="G70" s="120">
        <f t="shared" si="42"/>
        <v>183.51368421052632</v>
      </c>
      <c r="H70" s="120">
        <f>E70/D70*100</f>
        <v>142.85199236322219</v>
      </c>
      <c r="I70" s="120">
        <f>E70/J70*100</f>
        <v>96.279973933309037</v>
      </c>
      <c r="J70" s="6">
        <v>181074</v>
      </c>
    </row>
    <row r="71" spans="1:31" s="90" customFormat="1" x14ac:dyDescent="0.2">
      <c r="A71" s="23"/>
      <c r="B71" s="384" t="s">
        <v>722</v>
      </c>
      <c r="C71" s="126">
        <v>5000</v>
      </c>
      <c r="D71" s="126">
        <f>5000</f>
        <v>5000</v>
      </c>
      <c r="E71" s="130">
        <v>5200</v>
      </c>
      <c r="F71" s="130"/>
      <c r="G71" s="126">
        <f t="shared" si="42"/>
        <v>104</v>
      </c>
      <c r="H71" s="126">
        <f>E71/D71*100</f>
        <v>104</v>
      </c>
      <c r="I71" s="126">
        <f>E71/J71*100</f>
        <v>3.1782121334360141</v>
      </c>
      <c r="J71" s="125">
        <v>163614</v>
      </c>
    </row>
    <row r="72" spans="1:31" s="383" customFormat="1" x14ac:dyDescent="0.2">
      <c r="A72" s="307"/>
      <c r="B72" s="166" t="s">
        <v>721</v>
      </c>
      <c r="C72" s="133">
        <v>90000</v>
      </c>
      <c r="D72" s="133">
        <f>90000+27041</f>
        <v>117041</v>
      </c>
      <c r="E72" s="130">
        <v>169138</v>
      </c>
      <c r="F72" s="130"/>
      <c r="G72" s="126">
        <f t="shared" si="42"/>
        <v>187.93111111111111</v>
      </c>
      <c r="H72" s="126">
        <f>E72/D72*100</f>
        <v>144.51175229193188</v>
      </c>
      <c r="I72" s="126">
        <f>E72/J72*100</f>
        <v>968.71706758304686</v>
      </c>
      <c r="J72" s="201">
        <v>17460</v>
      </c>
    </row>
    <row r="73" spans="1:31" s="220" customFormat="1" ht="12.75" customHeight="1" x14ac:dyDescent="0.2">
      <c r="A73" s="20">
        <v>1353</v>
      </c>
      <c r="B73" s="19" t="s">
        <v>720</v>
      </c>
      <c r="C73" s="120">
        <v>600000</v>
      </c>
      <c r="D73" s="120">
        <v>600000</v>
      </c>
      <c r="E73" s="121">
        <v>586300</v>
      </c>
      <c r="F73" s="130"/>
      <c r="G73" s="120">
        <f t="shared" si="42"/>
        <v>97.716666666666669</v>
      </c>
      <c r="H73" s="120">
        <f t="shared" ref="H73:H85" si="43">E73/D73*100</f>
        <v>97.716666666666669</v>
      </c>
      <c r="I73" s="120">
        <f t="shared" ref="I73:I147" si="44">E73/J73*100</f>
        <v>134.28767750801649</v>
      </c>
      <c r="J73" s="14">
        <v>436600</v>
      </c>
    </row>
    <row r="74" spans="1:31" s="3" customFormat="1" ht="12.75" customHeight="1" x14ac:dyDescent="0.2">
      <c r="A74" s="124">
        <v>1356</v>
      </c>
      <c r="B74" s="184" t="s">
        <v>719</v>
      </c>
      <c r="C74" s="121">
        <v>250000</v>
      </c>
      <c r="D74" s="121">
        <v>250000</v>
      </c>
      <c r="E74" s="121">
        <v>242547.84</v>
      </c>
      <c r="F74" s="130"/>
      <c r="G74" s="120">
        <f t="shared" si="42"/>
        <v>97.019135999999989</v>
      </c>
      <c r="H74" s="120">
        <f t="shared" si="43"/>
        <v>97.019135999999989</v>
      </c>
      <c r="I74" s="120">
        <f t="shared" si="44"/>
        <v>100</v>
      </c>
      <c r="J74" s="6">
        <v>242547.84</v>
      </c>
    </row>
    <row r="75" spans="1:31" s="3" customFormat="1" ht="12.75" customHeight="1" x14ac:dyDescent="0.2">
      <c r="A75" s="124">
        <v>1361</v>
      </c>
      <c r="B75" s="184" t="s">
        <v>717</v>
      </c>
      <c r="C75" s="170">
        <f>SUM(C76:C81)</f>
        <v>8086000</v>
      </c>
      <c r="D75" s="170">
        <f>SUM(D76:D81)</f>
        <v>8086000</v>
      </c>
      <c r="E75" s="121">
        <v>9239605</v>
      </c>
      <c r="F75" s="130">
        <f>SUM(E76:E81)</f>
        <v>9239605</v>
      </c>
      <c r="G75" s="120">
        <f t="shared" si="42"/>
        <v>114.26669552312639</v>
      </c>
      <c r="H75" s="120">
        <f t="shared" si="43"/>
        <v>114.26669552312639</v>
      </c>
      <c r="I75" s="120">
        <f t="shared" si="44"/>
        <v>105.54506532879151</v>
      </c>
      <c r="J75" s="14">
        <v>8754180</v>
      </c>
    </row>
    <row r="76" spans="1:31" s="375" customFormat="1" ht="12.75" customHeight="1" x14ac:dyDescent="0.2">
      <c r="A76" s="16"/>
      <c r="B76" s="15" t="s">
        <v>716</v>
      </c>
      <c r="C76" s="126">
        <v>5500000</v>
      </c>
      <c r="D76" s="126">
        <v>5500000</v>
      </c>
      <c r="E76" s="130">
        <v>6325920</v>
      </c>
      <c r="F76" s="130"/>
      <c r="G76" s="126">
        <f t="shared" si="42"/>
        <v>115.01672727272727</v>
      </c>
      <c r="H76" s="126">
        <f>E76/D76*100</f>
        <v>115.01672727272727</v>
      </c>
      <c r="I76" s="126">
        <f>E76/J76*100</f>
        <v>102.86508746326055</v>
      </c>
      <c r="J76" s="14">
        <v>6149725</v>
      </c>
    </row>
    <row r="77" spans="1:31" ht="26.25" customHeight="1" x14ac:dyDescent="0.2">
      <c r="A77" s="132"/>
      <c r="B77" s="183" t="s">
        <v>715</v>
      </c>
      <c r="C77" s="126">
        <v>400000</v>
      </c>
      <c r="D77" s="126">
        <v>400000</v>
      </c>
      <c r="E77" s="130">
        <v>412335</v>
      </c>
      <c r="F77" s="130"/>
      <c r="G77" s="126">
        <f t="shared" si="42"/>
        <v>103.08375000000001</v>
      </c>
      <c r="H77" s="126">
        <f t="shared" si="43"/>
        <v>103.08375000000001</v>
      </c>
      <c r="I77" s="126">
        <f t="shared" si="44"/>
        <v>106.86683599419449</v>
      </c>
      <c r="J77" s="6">
        <v>385840</v>
      </c>
    </row>
    <row r="78" spans="1:31" ht="12.75" customHeight="1" x14ac:dyDescent="0.2">
      <c r="A78" s="132"/>
      <c r="B78" s="185" t="s">
        <v>714</v>
      </c>
      <c r="C78" s="126">
        <v>1000000</v>
      </c>
      <c r="D78" s="126">
        <v>1000000</v>
      </c>
      <c r="E78" s="130">
        <v>1020350</v>
      </c>
      <c r="F78" s="130"/>
      <c r="G78" s="126">
        <f t="shared" si="42"/>
        <v>102.03500000000001</v>
      </c>
      <c r="H78" s="126">
        <f>E78/D78*100</f>
        <v>102.03500000000001</v>
      </c>
      <c r="I78" s="126">
        <f>E78/J78*100</f>
        <v>101.38109195687815</v>
      </c>
      <c r="J78" s="14">
        <v>1006450</v>
      </c>
    </row>
    <row r="79" spans="1:31" s="377" customFormat="1" ht="12.75" customHeight="1" x14ac:dyDescent="0.2">
      <c r="A79" s="237"/>
      <c r="B79" s="155" t="s">
        <v>713</v>
      </c>
      <c r="C79" s="133">
        <v>1000000</v>
      </c>
      <c r="D79" s="133">
        <v>1000000</v>
      </c>
      <c r="E79" s="130">
        <v>1235050</v>
      </c>
      <c r="F79" s="130"/>
      <c r="G79" s="126">
        <f t="shared" si="42"/>
        <v>123.505</v>
      </c>
      <c r="H79" s="126">
        <f t="shared" ref="H79:H80" si="45">E79/D79*100</f>
        <v>123.505</v>
      </c>
      <c r="I79" s="126">
        <f t="shared" si="44"/>
        <v>122.10747989262887</v>
      </c>
      <c r="J79" s="14">
        <v>1011445</v>
      </c>
      <c r="K79" s="378"/>
      <c r="L79" s="378"/>
      <c r="M79" s="378"/>
      <c r="N79" s="378"/>
      <c r="O79" s="378"/>
      <c r="P79" s="378"/>
      <c r="Q79" s="378"/>
      <c r="R79" s="378"/>
      <c r="S79" s="378"/>
      <c r="T79" s="378"/>
      <c r="U79" s="378"/>
      <c r="V79" s="378"/>
      <c r="W79" s="378"/>
      <c r="X79" s="378"/>
      <c r="Y79" s="378"/>
      <c r="Z79" s="378"/>
      <c r="AA79" s="378"/>
      <c r="AB79" s="378"/>
      <c r="AC79" s="378"/>
      <c r="AD79" s="378"/>
      <c r="AE79" s="378"/>
    </row>
    <row r="80" spans="1:31" ht="12.75" customHeight="1" x14ac:dyDescent="0.2">
      <c r="A80" s="132"/>
      <c r="B80" s="185" t="s">
        <v>712</v>
      </c>
      <c r="C80" s="130">
        <v>182000</v>
      </c>
      <c r="D80" s="130">
        <v>182000</v>
      </c>
      <c r="E80" s="130">
        <v>239950</v>
      </c>
      <c r="F80" s="130"/>
      <c r="G80" s="126">
        <f t="shared" si="42"/>
        <v>131.84065934065933</v>
      </c>
      <c r="H80" s="126">
        <f t="shared" si="45"/>
        <v>131.84065934065933</v>
      </c>
      <c r="I80" s="126">
        <f t="shared" si="44"/>
        <v>121.85151330489539</v>
      </c>
      <c r="J80" s="14">
        <v>196920</v>
      </c>
    </row>
    <row r="81" spans="1:13" ht="12.75" customHeight="1" x14ac:dyDescent="0.2">
      <c r="A81" s="132"/>
      <c r="B81" s="185" t="s">
        <v>711</v>
      </c>
      <c r="C81" s="126">
        <v>4000</v>
      </c>
      <c r="D81" s="126">
        <v>4000</v>
      </c>
      <c r="E81" s="117">
        <v>6000</v>
      </c>
      <c r="F81" s="117"/>
      <c r="G81" s="126">
        <f t="shared" si="42"/>
        <v>150</v>
      </c>
      <c r="H81" s="126">
        <f t="shared" si="43"/>
        <v>150</v>
      </c>
      <c r="I81" s="126">
        <f t="shared" si="44"/>
        <v>157.89473684210526</v>
      </c>
      <c r="J81" s="14">
        <v>3800</v>
      </c>
    </row>
    <row r="82" spans="1:13" ht="12.75" customHeight="1" x14ac:dyDescent="0.2">
      <c r="A82" s="382">
        <v>1381</v>
      </c>
      <c r="B82" s="381" t="s">
        <v>710</v>
      </c>
      <c r="C82" s="120">
        <v>2300000</v>
      </c>
      <c r="D82" s="120">
        <v>2300000</v>
      </c>
      <c r="E82" s="715">
        <v>2795870.97</v>
      </c>
      <c r="F82" s="206"/>
      <c r="G82" s="120">
        <f t="shared" ref="G82" si="46">E82/C82*100</f>
        <v>121.55960739130435</v>
      </c>
      <c r="H82" s="120">
        <f t="shared" ref="H82" si="47">E82/D82*100</f>
        <v>121.55960739130435</v>
      </c>
      <c r="I82" s="120">
        <f t="shared" ref="I82" si="48">E82/J82*100</f>
        <v>124.83833147656026</v>
      </c>
      <c r="J82" s="14">
        <v>2239593.35</v>
      </c>
    </row>
    <row r="83" spans="1:13" ht="12.75" customHeight="1" x14ac:dyDescent="0.2">
      <c r="A83" s="381">
        <v>1382</v>
      </c>
      <c r="B83" s="746" t="s">
        <v>1055</v>
      </c>
      <c r="C83" s="120">
        <v>0</v>
      </c>
      <c r="D83" s="120">
        <v>141.77000000000001</v>
      </c>
      <c r="E83" s="744">
        <v>141.77000000000001</v>
      </c>
      <c r="F83" s="750"/>
      <c r="G83" s="120">
        <v>0</v>
      </c>
      <c r="H83" s="120">
        <f t="shared" si="43"/>
        <v>100</v>
      </c>
      <c r="I83" s="120">
        <f t="shared" si="44"/>
        <v>23.230320508618998</v>
      </c>
      <c r="J83" s="14">
        <v>610.28</v>
      </c>
    </row>
    <row r="84" spans="1:13" ht="12.75" customHeight="1" x14ac:dyDescent="0.2">
      <c r="A84" s="382">
        <v>1383</v>
      </c>
      <c r="B84" s="381" t="s">
        <v>936</v>
      </c>
      <c r="C84" s="120">
        <v>0</v>
      </c>
      <c r="D84" s="120">
        <f>20125.05</f>
        <v>20125.05</v>
      </c>
      <c r="E84" s="121">
        <v>20125.05</v>
      </c>
      <c r="F84" s="130"/>
      <c r="G84" s="120">
        <v>0</v>
      </c>
      <c r="H84" s="120">
        <f t="shared" si="43"/>
        <v>100</v>
      </c>
      <c r="I84" s="120">
        <v>0</v>
      </c>
      <c r="J84" s="14">
        <v>0</v>
      </c>
    </row>
    <row r="85" spans="1:13" ht="12.75" customHeight="1" x14ac:dyDescent="0.2">
      <c r="A85" s="382">
        <v>1385</v>
      </c>
      <c r="B85" s="381" t="s">
        <v>709</v>
      </c>
      <c r="C85" s="120">
        <v>10400000</v>
      </c>
      <c r="D85" s="120">
        <f>10400000-2400000</f>
        <v>8000000</v>
      </c>
      <c r="E85" s="121">
        <v>10984238.68</v>
      </c>
      <c r="F85" s="130"/>
      <c r="G85" s="120">
        <f t="shared" si="42"/>
        <v>105.61767961538462</v>
      </c>
      <c r="H85" s="120">
        <f t="shared" si="43"/>
        <v>137.30298349999998</v>
      </c>
      <c r="I85" s="120">
        <f t="shared" si="44"/>
        <v>106.25745380349352</v>
      </c>
      <c r="J85" s="14">
        <v>10337381.789999999</v>
      </c>
    </row>
    <row r="86" spans="1:13" s="3" customFormat="1" ht="12.75" customHeight="1" x14ac:dyDescent="0.2">
      <c r="A86" s="124">
        <v>1511</v>
      </c>
      <c r="B86" s="184" t="s">
        <v>708</v>
      </c>
      <c r="C86" s="121">
        <v>12500000</v>
      </c>
      <c r="D86" s="121">
        <v>12500000</v>
      </c>
      <c r="E86" s="120">
        <v>14100755.779999999</v>
      </c>
      <c r="F86" s="126"/>
      <c r="G86" s="120">
        <f t="shared" si="42"/>
        <v>112.80604623999999</v>
      </c>
      <c r="H86" s="120">
        <f>E86/D86*100</f>
        <v>112.80604623999999</v>
      </c>
      <c r="I86" s="120">
        <f t="shared" si="44"/>
        <v>118.61879338432797</v>
      </c>
      <c r="J86" s="14">
        <v>11887455.08</v>
      </c>
    </row>
    <row r="87" spans="1:13" s="3" customFormat="1" ht="12.75" customHeight="1" thickBot="1" x14ac:dyDescent="0.25">
      <c r="A87" s="159"/>
      <c r="B87" s="380"/>
      <c r="C87" s="379"/>
      <c r="D87" s="379"/>
      <c r="E87" s="117"/>
      <c r="F87" s="117"/>
      <c r="G87" s="151"/>
      <c r="H87" s="151"/>
      <c r="I87" s="151"/>
      <c r="J87" s="14"/>
    </row>
    <row r="88" spans="1:13" s="567" customFormat="1" ht="18.75" customHeight="1" thickBot="1" x14ac:dyDescent="0.3">
      <c r="A88" s="565"/>
      <c r="B88" s="388" t="s">
        <v>707</v>
      </c>
      <c r="C88" s="566">
        <f>SUM(C89,C99:C103,C115:C116,C134:C135,C161:C164,C182:C183)</f>
        <v>127407541.26000001</v>
      </c>
      <c r="D88" s="566">
        <f>SUM(D89,D99:D103,D115:D116,D134:D135,D161:D164,D182:D183)</f>
        <v>133637638.64000002</v>
      </c>
      <c r="E88" s="550">
        <v>136159996.74000001</v>
      </c>
      <c r="F88" s="317">
        <f>SUM(E89,E99:E103,E115:E116,E134:E135,E161:E164,E182:E183)</f>
        <v>136159996.74000004</v>
      </c>
      <c r="G88" s="550">
        <f>E88/C88*100</f>
        <v>106.86965260724945</v>
      </c>
      <c r="H88" s="550">
        <f t="shared" ref="H88:H181" si="49">E88/D88*100</f>
        <v>101.88746084237155</v>
      </c>
      <c r="I88" s="550">
        <f t="shared" si="44"/>
        <v>103.22454284941787</v>
      </c>
      <c r="J88" s="568">
        <v>131906611.53</v>
      </c>
      <c r="M88" s="2">
        <v>133639948.64</v>
      </c>
    </row>
    <row r="89" spans="1:13" s="3" customFormat="1" ht="12.75" customHeight="1" x14ac:dyDescent="0.2">
      <c r="A89" s="248">
        <v>2111</v>
      </c>
      <c r="B89" s="137" t="s">
        <v>706</v>
      </c>
      <c r="C89" s="217">
        <f>SUM(C91:C98)</f>
        <v>13681500</v>
      </c>
      <c r="D89" s="217">
        <f>SUM(D90:D98)</f>
        <v>12062640</v>
      </c>
      <c r="E89" s="120">
        <v>9534844.8800000008</v>
      </c>
      <c r="F89" s="14">
        <f>SUM(E90:E98)</f>
        <v>9534844.879999999</v>
      </c>
      <c r="G89" s="120">
        <f>E89/C89*100</f>
        <v>69.69151686584074</v>
      </c>
      <c r="H89" s="120">
        <f t="shared" si="49"/>
        <v>79.044428748598989</v>
      </c>
      <c r="I89" s="120">
        <f t="shared" si="44"/>
        <v>91.480490023221535</v>
      </c>
      <c r="J89" s="14">
        <v>10422817.890000001</v>
      </c>
      <c r="M89" s="2">
        <v>-133637638.64</v>
      </c>
    </row>
    <row r="90" spans="1:13" ht="12.75" customHeight="1" x14ac:dyDescent="0.2">
      <c r="A90" s="123"/>
      <c r="B90" s="749" t="s">
        <v>1056</v>
      </c>
      <c r="C90" s="9">
        <v>0</v>
      </c>
      <c r="D90" s="9">
        <v>1140</v>
      </c>
      <c r="E90" s="127">
        <v>1140</v>
      </c>
      <c r="F90" s="127"/>
      <c r="G90" s="126">
        <v>0</v>
      </c>
      <c r="H90" s="126">
        <f t="shared" ref="H90" si="50">E90/D90*100</f>
        <v>100</v>
      </c>
      <c r="I90" s="126">
        <f t="shared" ref="I90" si="51">E90/J90*100</f>
        <v>118.75</v>
      </c>
      <c r="J90" s="14">
        <v>960</v>
      </c>
      <c r="M90" s="1">
        <f>SUM(M88:M89)</f>
        <v>2310</v>
      </c>
    </row>
    <row r="91" spans="1:13" ht="12.75" customHeight="1" x14ac:dyDescent="0.2">
      <c r="A91" s="180"/>
      <c r="B91" s="155" t="s">
        <v>704</v>
      </c>
      <c r="C91" s="9">
        <v>1000000</v>
      </c>
      <c r="D91" s="9">
        <v>1000000</v>
      </c>
      <c r="E91" s="127">
        <v>545366.14</v>
      </c>
      <c r="F91" s="127"/>
      <c r="G91" s="126">
        <f t="shared" ref="G91:G173" si="52">E91/C91*100</f>
        <v>54.536614000000007</v>
      </c>
      <c r="H91" s="126">
        <f t="shared" si="49"/>
        <v>54.536614000000007</v>
      </c>
      <c r="I91" s="126">
        <f t="shared" si="44"/>
        <v>94.782163023624022</v>
      </c>
      <c r="J91" s="14">
        <v>575389</v>
      </c>
    </row>
    <row r="92" spans="1:13" s="378" customFormat="1" ht="12.75" customHeight="1" x14ac:dyDescent="0.2">
      <c r="A92" s="237"/>
      <c r="B92" s="155" t="s">
        <v>703</v>
      </c>
      <c r="C92" s="133">
        <v>720000</v>
      </c>
      <c r="D92" s="133">
        <f>720000-320000</f>
        <v>400000</v>
      </c>
      <c r="E92" s="130">
        <v>553859.02</v>
      </c>
      <c r="F92" s="130"/>
      <c r="G92" s="126">
        <f t="shared" si="52"/>
        <v>76.924863888888893</v>
      </c>
      <c r="H92" s="126">
        <f t="shared" si="49"/>
        <v>138.464755</v>
      </c>
      <c r="I92" s="126">
        <f t="shared" si="44"/>
        <v>108.56231765610669</v>
      </c>
      <c r="J92" s="14">
        <v>510176.12</v>
      </c>
    </row>
    <row r="93" spans="1:13" ht="12.75" customHeight="1" x14ac:dyDescent="0.2">
      <c r="A93" s="237"/>
      <c r="B93" s="155" t="s">
        <v>701</v>
      </c>
      <c r="C93" s="126">
        <v>5200000</v>
      </c>
      <c r="D93" s="126">
        <f>5200000-1000000</f>
        <v>4200000</v>
      </c>
      <c r="E93" s="130">
        <v>2318484.17</v>
      </c>
      <c r="F93" s="130">
        <f>SUM(E93:E94)</f>
        <v>3208144.7199999997</v>
      </c>
      <c r="G93" s="126">
        <f t="shared" si="52"/>
        <v>44.586234038461534</v>
      </c>
      <c r="H93" s="126">
        <f t="shared" si="49"/>
        <v>55.202004047619049</v>
      </c>
      <c r="I93" s="126">
        <f t="shared" si="44"/>
        <v>65.719645448241437</v>
      </c>
      <c r="J93" s="14">
        <v>3527840.35</v>
      </c>
    </row>
    <row r="94" spans="1:13" ht="12.75" customHeight="1" x14ac:dyDescent="0.2">
      <c r="A94" s="237"/>
      <c r="B94" s="155" t="s">
        <v>700</v>
      </c>
      <c r="C94" s="126">
        <v>1600000</v>
      </c>
      <c r="D94" s="126">
        <f>1600000-300000</f>
        <v>1300000</v>
      </c>
      <c r="E94" s="130">
        <v>889660.55</v>
      </c>
      <c r="F94" s="130"/>
      <c r="G94" s="126">
        <f t="shared" si="52"/>
        <v>55.603784374999996</v>
      </c>
      <c r="H94" s="126">
        <f t="shared" si="49"/>
        <v>68.435426923076932</v>
      </c>
      <c r="I94" s="126">
        <f t="shared" si="44"/>
        <v>117.12896038547129</v>
      </c>
      <c r="J94" s="14">
        <v>759556.43</v>
      </c>
    </row>
    <row r="95" spans="1:13" ht="12.75" customHeight="1" x14ac:dyDescent="0.2">
      <c r="A95" s="237"/>
      <c r="B95" s="155" t="s">
        <v>699</v>
      </c>
      <c r="C95" s="126">
        <v>2610000</v>
      </c>
      <c r="D95" s="126">
        <v>2610000</v>
      </c>
      <c r="E95" s="10">
        <v>2615184</v>
      </c>
      <c r="F95" s="10"/>
      <c r="G95" s="126">
        <f t="shared" si="52"/>
        <v>100.19862068965517</v>
      </c>
      <c r="H95" s="126">
        <f t="shared" si="49"/>
        <v>100.19862068965517</v>
      </c>
      <c r="I95" s="126">
        <f t="shared" si="44"/>
        <v>98.380281690140848</v>
      </c>
      <c r="J95" s="14">
        <v>2658240</v>
      </c>
    </row>
    <row r="96" spans="1:13" ht="12.75" customHeight="1" x14ac:dyDescent="0.2">
      <c r="A96" s="237"/>
      <c r="B96" s="155" t="s">
        <v>696</v>
      </c>
      <c r="C96" s="126">
        <v>2500000</v>
      </c>
      <c r="D96" s="126">
        <v>2500000</v>
      </c>
      <c r="E96" s="130">
        <v>2559039</v>
      </c>
      <c r="F96" s="130"/>
      <c r="G96" s="126">
        <f t="shared" si="52"/>
        <v>102.36156000000001</v>
      </c>
      <c r="H96" s="126">
        <f t="shared" si="49"/>
        <v>102.36156000000001</v>
      </c>
      <c r="I96" s="126">
        <f t="shared" si="44"/>
        <v>107.43448758224869</v>
      </c>
      <c r="J96" s="14">
        <v>2381953</v>
      </c>
    </row>
    <row r="97" spans="1:10" ht="12.75" customHeight="1" x14ac:dyDescent="0.2">
      <c r="A97" s="237"/>
      <c r="B97" s="155" t="s">
        <v>695</v>
      </c>
      <c r="C97" s="126">
        <v>51000</v>
      </c>
      <c r="D97" s="126">
        <v>51000</v>
      </c>
      <c r="E97" s="130">
        <v>49200</v>
      </c>
      <c r="F97" s="130"/>
      <c r="G97" s="126">
        <f t="shared" si="52"/>
        <v>96.470588235294116</v>
      </c>
      <c r="H97" s="126">
        <f t="shared" si="49"/>
        <v>96.470588235294116</v>
      </c>
      <c r="I97" s="126">
        <v>0</v>
      </c>
      <c r="J97" s="14">
        <v>0</v>
      </c>
    </row>
    <row r="98" spans="1:10" ht="12.75" customHeight="1" x14ac:dyDescent="0.2">
      <c r="A98" s="237"/>
      <c r="B98" s="155" t="s">
        <v>694</v>
      </c>
      <c r="C98" s="126">
        <v>500</v>
      </c>
      <c r="D98" s="126">
        <v>500</v>
      </c>
      <c r="E98" s="130">
        <v>2912</v>
      </c>
      <c r="F98" s="130"/>
      <c r="G98" s="126">
        <f t="shared" si="52"/>
        <v>582.4</v>
      </c>
      <c r="H98" s="126">
        <f t="shared" si="49"/>
        <v>582.4</v>
      </c>
      <c r="I98" s="126">
        <f t="shared" si="44"/>
        <v>1198.3539094650207</v>
      </c>
      <c r="J98" s="6">
        <v>243</v>
      </c>
    </row>
    <row r="99" spans="1:10" s="3" customFormat="1" ht="12.75" customHeight="1" x14ac:dyDescent="0.2">
      <c r="A99" s="180">
        <v>2119</v>
      </c>
      <c r="B99" s="123" t="s">
        <v>693</v>
      </c>
      <c r="C99" s="120">
        <v>1700000</v>
      </c>
      <c r="D99" s="120">
        <v>1700000</v>
      </c>
      <c r="E99" s="121">
        <v>668036.16</v>
      </c>
      <c r="F99" s="130"/>
      <c r="G99" s="120">
        <f t="shared" si="52"/>
        <v>39.296244705882359</v>
      </c>
      <c r="H99" s="120">
        <f t="shared" si="49"/>
        <v>39.296244705882359</v>
      </c>
      <c r="I99" s="120">
        <f t="shared" si="44"/>
        <v>206.21182586736703</v>
      </c>
      <c r="J99" s="14">
        <v>323956.28000000003</v>
      </c>
    </row>
    <row r="100" spans="1:10" s="3" customFormat="1" ht="12.75" customHeight="1" x14ac:dyDescent="0.2">
      <c r="A100" s="180">
        <v>2122</v>
      </c>
      <c r="B100" s="123" t="s">
        <v>692</v>
      </c>
      <c r="C100" s="120">
        <v>2798840.36</v>
      </c>
      <c r="D100" s="120">
        <f>2798840.36+(25236+27775+35940)+1380+1155128.5+(35680+59184+13752+6298.21+660)</f>
        <v>4159874.07</v>
      </c>
      <c r="E100" s="121">
        <v>4159874.07</v>
      </c>
      <c r="F100" s="130"/>
      <c r="G100" s="120">
        <f t="shared" ref="G100" si="53">E100/C100*100</f>
        <v>148.62848662079463</v>
      </c>
      <c r="H100" s="120">
        <f t="shared" ref="H100" si="54">E100/D100*100</f>
        <v>100</v>
      </c>
      <c r="I100" s="120">
        <f t="shared" ref="I100" si="55">E100/J100*100</f>
        <v>154.18971452600337</v>
      </c>
      <c r="J100" s="14">
        <v>2697893.36</v>
      </c>
    </row>
    <row r="101" spans="1:10" s="3" customFormat="1" ht="12.75" customHeight="1" x14ac:dyDescent="0.2">
      <c r="A101" s="180">
        <v>2123</v>
      </c>
      <c r="B101" s="123" t="s">
        <v>1039</v>
      </c>
      <c r="C101" s="120">
        <v>0</v>
      </c>
      <c r="D101" s="120">
        <v>95304.8</v>
      </c>
      <c r="E101" s="121">
        <v>95304.8</v>
      </c>
      <c r="F101" s="130"/>
      <c r="G101" s="120">
        <v>0</v>
      </c>
      <c r="H101" s="120">
        <f t="shared" si="49"/>
        <v>100</v>
      </c>
      <c r="I101" s="120">
        <v>0</v>
      </c>
      <c r="J101" s="14">
        <v>0</v>
      </c>
    </row>
    <row r="102" spans="1:10" s="3" customFormat="1" ht="27" customHeight="1" x14ac:dyDescent="0.2">
      <c r="A102" s="180">
        <v>2131</v>
      </c>
      <c r="B102" s="135" t="s">
        <v>691</v>
      </c>
      <c r="C102" s="120">
        <v>1650000</v>
      </c>
      <c r="D102" s="120">
        <v>1650000</v>
      </c>
      <c r="E102" s="121">
        <v>1389586.97</v>
      </c>
      <c r="F102" s="130"/>
      <c r="G102" s="120">
        <f t="shared" si="52"/>
        <v>84.217392121212114</v>
      </c>
      <c r="H102" s="120">
        <f t="shared" si="49"/>
        <v>84.217392121212114</v>
      </c>
      <c r="I102" s="120">
        <f t="shared" si="44"/>
        <v>123.11344507111374</v>
      </c>
      <c r="J102" s="6">
        <v>1128704.48</v>
      </c>
    </row>
    <row r="103" spans="1:10" s="3" customFormat="1" ht="12.75" customHeight="1" x14ac:dyDescent="0.2">
      <c r="A103" s="180">
        <v>2132</v>
      </c>
      <c r="B103" s="123" t="s">
        <v>690</v>
      </c>
      <c r="C103" s="122">
        <f>SUM(C104:C114)</f>
        <v>92969200.900000006</v>
      </c>
      <c r="D103" s="122">
        <f>SUM(D104:D114)</f>
        <v>91642625.969999999</v>
      </c>
      <c r="E103" s="121">
        <v>98031325.170000002</v>
      </c>
      <c r="F103" s="130">
        <f>SUM(E104:E114)</f>
        <v>98031325.170000002</v>
      </c>
      <c r="G103" s="120">
        <f t="shared" si="52"/>
        <v>105.44494759661853</v>
      </c>
      <c r="H103" s="120">
        <f t="shared" si="49"/>
        <v>106.97131834927056</v>
      </c>
      <c r="I103" s="120">
        <f t="shared" si="44"/>
        <v>107.38071649208098</v>
      </c>
      <c r="J103" s="14">
        <v>91293230.640000001</v>
      </c>
    </row>
    <row r="104" spans="1:10" ht="12.75" customHeight="1" x14ac:dyDescent="0.2">
      <c r="A104" s="237"/>
      <c r="B104" s="155" t="s">
        <v>689</v>
      </c>
      <c r="C104" s="126">
        <v>750000</v>
      </c>
      <c r="D104" s="126">
        <v>750000</v>
      </c>
      <c r="E104" s="130">
        <v>702284.74</v>
      </c>
      <c r="F104" s="130"/>
      <c r="G104" s="126">
        <f t="shared" si="52"/>
        <v>93.637965333333327</v>
      </c>
      <c r="H104" s="126">
        <f t="shared" si="49"/>
        <v>93.637965333333327</v>
      </c>
      <c r="I104" s="126">
        <f t="shared" si="44"/>
        <v>94.010545419993974</v>
      </c>
      <c r="J104" s="14">
        <v>747027.62</v>
      </c>
    </row>
    <row r="105" spans="1:10" ht="12.75" customHeight="1" x14ac:dyDescent="0.2">
      <c r="A105" s="237"/>
      <c r="B105" s="155" t="s">
        <v>688</v>
      </c>
      <c r="C105" s="126">
        <v>0</v>
      </c>
      <c r="D105" s="126">
        <f>14858.71</f>
        <v>14858.71</v>
      </c>
      <c r="E105" s="130">
        <v>14858.71</v>
      </c>
      <c r="F105" s="130"/>
      <c r="G105" s="126">
        <v>0</v>
      </c>
      <c r="H105" s="126">
        <f t="shared" si="49"/>
        <v>100</v>
      </c>
      <c r="I105" s="126">
        <f t="shared" si="44"/>
        <v>4936.4485049833884</v>
      </c>
      <c r="J105" s="6">
        <v>301</v>
      </c>
    </row>
    <row r="106" spans="1:10" ht="12.75" customHeight="1" x14ac:dyDescent="0.2">
      <c r="A106" s="237"/>
      <c r="B106" s="155" t="s">
        <v>687</v>
      </c>
      <c r="C106" s="126">
        <v>600000</v>
      </c>
      <c r="D106" s="126">
        <f>600000+(144503.85+88113.51)</f>
        <v>832617.36</v>
      </c>
      <c r="E106" s="130">
        <v>1110156.48</v>
      </c>
      <c r="F106" s="130"/>
      <c r="G106" s="126">
        <f t="shared" si="52"/>
        <v>185.02608000000001</v>
      </c>
      <c r="H106" s="126">
        <f t="shared" si="49"/>
        <v>133.33333333333331</v>
      </c>
      <c r="I106" s="126">
        <f t="shared" si="44"/>
        <v>133.28518774450481</v>
      </c>
      <c r="J106" s="14">
        <v>832918.12</v>
      </c>
    </row>
    <row r="107" spans="1:10" ht="12.75" customHeight="1" x14ac:dyDescent="0.2">
      <c r="A107" s="237"/>
      <c r="B107" s="155" t="s">
        <v>686</v>
      </c>
      <c r="C107" s="126">
        <v>276000</v>
      </c>
      <c r="D107" s="126">
        <f>276000-960+2520</f>
        <v>277560</v>
      </c>
      <c r="E107" s="130">
        <v>277560</v>
      </c>
      <c r="F107" s="130"/>
      <c r="G107" s="126">
        <f t="shared" si="52"/>
        <v>100.56521739130434</v>
      </c>
      <c r="H107" s="126">
        <f t="shared" si="49"/>
        <v>100</v>
      </c>
      <c r="I107" s="126">
        <f t="shared" si="44"/>
        <v>108.93677145884845</v>
      </c>
      <c r="J107" s="14">
        <v>254790</v>
      </c>
    </row>
    <row r="108" spans="1:10" ht="25.5" customHeight="1" x14ac:dyDescent="0.2">
      <c r="A108" s="237"/>
      <c r="B108" s="128" t="s">
        <v>685</v>
      </c>
      <c r="C108" s="126">
        <v>52865000</v>
      </c>
      <c r="D108" s="126">
        <f>52865000-220825</f>
        <v>52644175</v>
      </c>
      <c r="E108" s="130">
        <v>58729648.640000001</v>
      </c>
      <c r="F108" s="130"/>
      <c r="G108" s="126">
        <f t="shared" si="52"/>
        <v>111.09363215738202</v>
      </c>
      <c r="H108" s="126">
        <f t="shared" si="49"/>
        <v>111.55963340673493</v>
      </c>
      <c r="I108" s="126">
        <f t="shared" si="44"/>
        <v>110.7477746815656</v>
      </c>
      <c r="J108" s="6">
        <v>53030093.659999996</v>
      </c>
    </row>
    <row r="109" spans="1:10" ht="12.75" customHeight="1" x14ac:dyDescent="0.2">
      <c r="A109" s="237"/>
      <c r="B109" s="155" t="s">
        <v>684</v>
      </c>
      <c r="C109" s="126">
        <f>83405+3+1194792.9</f>
        <v>1278200.8999999999</v>
      </c>
      <c r="D109" s="126">
        <f>83405+3+1194792.9</f>
        <v>1278200.8999999999</v>
      </c>
      <c r="E109" s="130">
        <v>1585762.39</v>
      </c>
      <c r="F109" s="130">
        <f>SUM(E109:E111)</f>
        <v>18281490.600000001</v>
      </c>
      <c r="G109" s="126">
        <f t="shared" si="52"/>
        <v>124.06206176196559</v>
      </c>
      <c r="H109" s="126">
        <f t="shared" si="49"/>
        <v>124.06206176196559</v>
      </c>
      <c r="I109" s="126">
        <f t="shared" si="44"/>
        <v>99.393843008985357</v>
      </c>
      <c r="J109" s="14">
        <v>1595433.22</v>
      </c>
    </row>
    <row r="110" spans="1:10" ht="12.75" customHeight="1" x14ac:dyDescent="0.2">
      <c r="A110" s="237"/>
      <c r="B110" s="155" t="s">
        <v>683</v>
      </c>
      <c r="C110" s="126">
        <v>420000</v>
      </c>
      <c r="D110" s="126">
        <v>420000</v>
      </c>
      <c r="E110" s="130">
        <v>438186.61</v>
      </c>
      <c r="F110" s="130"/>
      <c r="G110" s="126">
        <f t="shared" si="52"/>
        <v>104.33014523809523</v>
      </c>
      <c r="H110" s="126">
        <f t="shared" si="49"/>
        <v>104.33014523809523</v>
      </c>
      <c r="I110" s="126">
        <f t="shared" si="44"/>
        <v>96.095278638989612</v>
      </c>
      <c r="J110" s="6">
        <v>455991.82</v>
      </c>
    </row>
    <row r="111" spans="1:10" ht="36.75" customHeight="1" x14ac:dyDescent="0.2">
      <c r="A111" s="237"/>
      <c r="B111" s="166" t="s">
        <v>682</v>
      </c>
      <c r="C111" s="126">
        <f>13500000+3000000+240000+20000+746000+216000+134000</f>
        <v>17856000</v>
      </c>
      <c r="D111" s="126">
        <f>(13500000+3000000+240000+20000+746000+216000+134000)-1355324</f>
        <v>16500676</v>
      </c>
      <c r="E111" s="130">
        <v>16257541.6</v>
      </c>
      <c r="F111" s="130"/>
      <c r="G111" s="126">
        <f t="shared" si="52"/>
        <v>91.048060035842298</v>
      </c>
      <c r="H111" s="126">
        <f t="shared" si="49"/>
        <v>98.526518549906683</v>
      </c>
      <c r="I111" s="126">
        <f t="shared" si="44"/>
        <v>105.3780311770506</v>
      </c>
      <c r="J111" s="6">
        <v>15427828.189999999</v>
      </c>
    </row>
    <row r="112" spans="1:10" ht="12.75" customHeight="1" x14ac:dyDescent="0.2">
      <c r="A112" s="237"/>
      <c r="B112" s="155" t="s">
        <v>681</v>
      </c>
      <c r="C112" s="126">
        <v>18881000</v>
      </c>
      <c r="D112" s="126">
        <f>18881000+538</f>
        <v>18881538</v>
      </c>
      <c r="E112" s="130">
        <v>18881538</v>
      </c>
      <c r="F112" s="130"/>
      <c r="G112" s="126">
        <f t="shared" si="52"/>
        <v>100.00284942534823</v>
      </c>
      <c r="H112" s="126">
        <f>E112/D112*100</f>
        <v>100</v>
      </c>
      <c r="I112" s="126">
        <f>E112/J112*100</f>
        <v>100</v>
      </c>
      <c r="J112" s="14">
        <v>18881538</v>
      </c>
    </row>
    <row r="113" spans="1:10" ht="12.75" customHeight="1" x14ac:dyDescent="0.2">
      <c r="A113" s="237"/>
      <c r="B113" s="155" t="s">
        <v>680</v>
      </c>
      <c r="C113" s="126">
        <v>18000</v>
      </c>
      <c r="D113" s="126">
        <v>18000</v>
      </c>
      <c r="E113" s="130">
        <v>16300</v>
      </c>
      <c r="F113" s="130"/>
      <c r="G113" s="126">
        <f t="shared" si="52"/>
        <v>90.555555555555557</v>
      </c>
      <c r="H113" s="126">
        <f t="shared" si="49"/>
        <v>90.555555555555557</v>
      </c>
      <c r="I113" s="126">
        <f t="shared" si="44"/>
        <v>33.115946445622804</v>
      </c>
      <c r="J113" s="14">
        <v>49221</v>
      </c>
    </row>
    <row r="114" spans="1:10" ht="12.75" customHeight="1" x14ac:dyDescent="0.2">
      <c r="A114" s="237"/>
      <c r="B114" s="155" t="s">
        <v>679</v>
      </c>
      <c r="C114" s="126">
        <v>25000</v>
      </c>
      <c r="D114" s="126">
        <v>25000</v>
      </c>
      <c r="E114" s="130">
        <v>17488</v>
      </c>
      <c r="F114" s="130"/>
      <c r="G114" s="126">
        <f t="shared" si="52"/>
        <v>69.951999999999998</v>
      </c>
      <c r="H114" s="126">
        <f t="shared" si="49"/>
        <v>69.951999999999998</v>
      </c>
      <c r="I114" s="126">
        <f t="shared" si="44"/>
        <v>96.682883679787707</v>
      </c>
      <c r="J114" s="14">
        <v>18088</v>
      </c>
    </row>
    <row r="115" spans="1:10" s="3" customFormat="1" ht="12.75" customHeight="1" x14ac:dyDescent="0.2">
      <c r="A115" s="180">
        <v>2141</v>
      </c>
      <c r="B115" s="123" t="s">
        <v>678</v>
      </c>
      <c r="C115" s="120">
        <v>300000</v>
      </c>
      <c r="D115" s="120">
        <f>300000-0.08</f>
        <v>299999.92</v>
      </c>
      <c r="E115" s="121">
        <v>258492.81</v>
      </c>
      <c r="F115" s="130"/>
      <c r="G115" s="120">
        <f t="shared" si="52"/>
        <v>86.164270000000002</v>
      </c>
      <c r="H115" s="120">
        <f t="shared" si="49"/>
        <v>86.164292977144797</v>
      </c>
      <c r="I115" s="120">
        <f t="shared" si="44"/>
        <v>24.103786499672726</v>
      </c>
      <c r="J115" s="14">
        <v>1072415.78</v>
      </c>
    </row>
    <row r="116" spans="1:10" s="3" customFormat="1" ht="12.75" customHeight="1" x14ac:dyDescent="0.2">
      <c r="A116" s="180">
        <v>2212</v>
      </c>
      <c r="B116" s="123" t="s">
        <v>677</v>
      </c>
      <c r="C116" s="122">
        <f>SUM(C117:C133)</f>
        <v>11127000</v>
      </c>
      <c r="D116" s="122">
        <f>SUM(D117:D133)</f>
        <v>11861552.66</v>
      </c>
      <c r="E116" s="121">
        <v>10798718.43</v>
      </c>
      <c r="F116" s="130">
        <f>SUM(E117:E133)</f>
        <v>10798718.43</v>
      </c>
      <c r="G116" s="120">
        <f t="shared" si="52"/>
        <v>97.049684820706389</v>
      </c>
      <c r="H116" s="120">
        <f t="shared" si="49"/>
        <v>91.039670265224785</v>
      </c>
      <c r="I116" s="120">
        <f t="shared" si="44"/>
        <v>107.26470417222443</v>
      </c>
      <c r="J116" s="14">
        <v>10067354.880000001</v>
      </c>
    </row>
    <row r="117" spans="1:10" ht="12.75" customHeight="1" x14ac:dyDescent="0.2">
      <c r="A117" s="237"/>
      <c r="B117" s="155" t="s">
        <v>676</v>
      </c>
      <c r="C117" s="126">
        <v>12000</v>
      </c>
      <c r="D117" s="126">
        <v>12000</v>
      </c>
      <c r="E117" s="130">
        <v>8500</v>
      </c>
      <c r="F117" s="130"/>
      <c r="G117" s="126">
        <f t="shared" si="52"/>
        <v>70.833333333333343</v>
      </c>
      <c r="H117" s="126">
        <f>E117/D117*100</f>
        <v>70.833333333333343</v>
      </c>
      <c r="I117" s="126">
        <f>E117/J117*100</f>
        <v>68</v>
      </c>
      <c r="J117" s="14">
        <v>12500</v>
      </c>
    </row>
    <row r="118" spans="1:10" ht="12.75" customHeight="1" x14ac:dyDescent="0.2">
      <c r="A118" s="237"/>
      <c r="B118" s="155" t="s">
        <v>656</v>
      </c>
      <c r="C118" s="126">
        <v>50000</v>
      </c>
      <c r="D118" s="126">
        <f>50000+4300</f>
        <v>54300</v>
      </c>
      <c r="E118" s="130">
        <v>83600</v>
      </c>
      <c r="F118" s="130"/>
      <c r="G118" s="126">
        <f t="shared" si="52"/>
        <v>167.2</v>
      </c>
      <c r="H118" s="126">
        <f t="shared" si="49"/>
        <v>153.95948434622468</v>
      </c>
      <c r="I118" s="126">
        <f t="shared" si="44"/>
        <v>68.412438625204587</v>
      </c>
      <c r="J118" s="14">
        <v>122200</v>
      </c>
    </row>
    <row r="119" spans="1:10" ht="12.75" customHeight="1" x14ac:dyDescent="0.2">
      <c r="A119" s="237"/>
      <c r="B119" s="15" t="s">
        <v>951</v>
      </c>
      <c r="C119" s="126">
        <v>0</v>
      </c>
      <c r="D119" s="126">
        <v>10000</v>
      </c>
      <c r="E119" s="130">
        <v>10000</v>
      </c>
      <c r="F119" s="130"/>
      <c r="G119" s="126">
        <v>0</v>
      </c>
      <c r="H119" s="126">
        <f t="shared" ref="H119" si="56">E119/D119*100</f>
        <v>100</v>
      </c>
      <c r="I119" s="126">
        <v>0</v>
      </c>
      <c r="J119" s="14">
        <v>0</v>
      </c>
    </row>
    <row r="120" spans="1:10" ht="12.75" customHeight="1" x14ac:dyDescent="0.2">
      <c r="A120" s="237"/>
      <c r="B120" s="15" t="s">
        <v>1050</v>
      </c>
      <c r="C120" s="126">
        <v>0</v>
      </c>
      <c r="D120" s="126">
        <f>269297.1</f>
        <v>269297.09999999998</v>
      </c>
      <c r="E120" s="130">
        <v>269297.09999999998</v>
      </c>
      <c r="F120" s="130"/>
      <c r="G120" s="126">
        <v>0</v>
      </c>
      <c r="H120" s="126">
        <f t="shared" si="49"/>
        <v>100</v>
      </c>
      <c r="I120" s="126">
        <f t="shared" si="44"/>
        <v>378.55095655782287</v>
      </c>
      <c r="J120" s="14">
        <v>71138.929999999993</v>
      </c>
    </row>
    <row r="121" spans="1:10" ht="12.75" customHeight="1" x14ac:dyDescent="0.2">
      <c r="A121" s="237"/>
      <c r="B121" s="155" t="s">
        <v>1075</v>
      </c>
      <c r="C121" s="126">
        <v>0</v>
      </c>
      <c r="D121" s="126">
        <v>0</v>
      </c>
      <c r="E121" s="130">
        <v>4000</v>
      </c>
      <c r="F121" s="130"/>
      <c r="G121" s="126">
        <v>0</v>
      </c>
      <c r="H121" s="126">
        <v>0</v>
      </c>
      <c r="I121" s="126">
        <v>0</v>
      </c>
      <c r="J121" s="201">
        <v>0</v>
      </c>
    </row>
    <row r="122" spans="1:10" ht="12.75" customHeight="1" x14ac:dyDescent="0.2">
      <c r="A122" s="237"/>
      <c r="B122" s="155" t="s">
        <v>1076</v>
      </c>
      <c r="C122" s="126">
        <v>2000000</v>
      </c>
      <c r="D122" s="126">
        <v>2000000</v>
      </c>
      <c r="E122" s="130">
        <f>2067112.48+5800</f>
        <v>2072912.48</v>
      </c>
      <c r="F122" s="130"/>
      <c r="G122" s="126">
        <f>E122/C122*100</f>
        <v>103.645624</v>
      </c>
      <c r="H122" s="126">
        <f t="shared" si="49"/>
        <v>103.645624</v>
      </c>
      <c r="I122" s="126">
        <f>E122/J122*100</f>
        <v>113.21601736205156</v>
      </c>
      <c r="J122" s="201">
        <v>1830935.7</v>
      </c>
    </row>
    <row r="123" spans="1:10" ht="12.75" customHeight="1" x14ac:dyDescent="0.2">
      <c r="A123" s="237"/>
      <c r="B123" s="155" t="s">
        <v>1077</v>
      </c>
      <c r="C123" s="126">
        <v>8000000</v>
      </c>
      <c r="D123" s="126">
        <v>8000000</v>
      </c>
      <c r="E123" s="130">
        <v>6814725.5199999996</v>
      </c>
      <c r="F123" s="130"/>
      <c r="G123" s="126">
        <f>E123/C123*100</f>
        <v>85.184068999999994</v>
      </c>
      <c r="H123" s="126">
        <f>E123/D123*100</f>
        <v>85.184068999999994</v>
      </c>
      <c r="I123" s="126">
        <f>E123/J123*100</f>
        <v>98.912056651212183</v>
      </c>
      <c r="J123" s="14">
        <v>6889681.3499999996</v>
      </c>
    </row>
    <row r="124" spans="1:10" ht="12.75" customHeight="1" x14ac:dyDescent="0.2">
      <c r="A124" s="237"/>
      <c r="B124" s="15" t="s">
        <v>1061</v>
      </c>
      <c r="C124" s="126">
        <v>0</v>
      </c>
      <c r="D124" s="126">
        <v>6750</v>
      </c>
      <c r="E124" s="46">
        <v>6750</v>
      </c>
      <c r="F124" s="130"/>
      <c r="G124" s="126">
        <v>0</v>
      </c>
      <c r="H124" s="126">
        <f>E124/D124*100</f>
        <v>100</v>
      </c>
      <c r="I124" s="126">
        <v>0</v>
      </c>
      <c r="J124" s="14">
        <v>0</v>
      </c>
    </row>
    <row r="125" spans="1:10" ht="12.75" customHeight="1" x14ac:dyDescent="0.2">
      <c r="A125" s="237"/>
      <c r="B125" s="15" t="s">
        <v>1063</v>
      </c>
      <c r="C125" s="126">
        <v>0</v>
      </c>
      <c r="D125" s="126">
        <v>42348.85</v>
      </c>
      <c r="E125" s="130">
        <v>42348.85</v>
      </c>
      <c r="F125" s="130"/>
      <c r="G125" s="126">
        <v>0</v>
      </c>
      <c r="H125" s="126">
        <f t="shared" ref="H125" si="57">E125/D125*100</f>
        <v>100</v>
      </c>
      <c r="I125" s="126">
        <v>0</v>
      </c>
      <c r="J125" s="14">
        <v>0</v>
      </c>
    </row>
    <row r="126" spans="1:10" ht="12.75" customHeight="1" x14ac:dyDescent="0.2">
      <c r="A126" s="237"/>
      <c r="B126" s="15" t="s">
        <v>940</v>
      </c>
      <c r="C126" s="126">
        <v>0</v>
      </c>
      <c r="D126" s="9">
        <f>143744.55</f>
        <v>143744.54999999999</v>
      </c>
      <c r="E126" s="130">
        <v>163778.54999999999</v>
      </c>
      <c r="F126" s="130"/>
      <c r="G126" s="126">
        <v>0</v>
      </c>
      <c r="H126" s="126">
        <f t="shared" si="49"/>
        <v>113.93722405475546</v>
      </c>
      <c r="I126" s="126">
        <f t="shared" si="44"/>
        <v>89.037276602962422</v>
      </c>
      <c r="J126" s="14">
        <v>183943.8</v>
      </c>
    </row>
    <row r="127" spans="1:10" ht="12.75" customHeight="1" x14ac:dyDescent="0.2">
      <c r="A127" s="237"/>
      <c r="B127" s="15" t="s">
        <v>1051</v>
      </c>
      <c r="C127" s="126">
        <v>0</v>
      </c>
      <c r="D127" s="126">
        <f>16940+(120000+15672.16)</f>
        <v>152612.16</v>
      </c>
      <c r="E127" s="130">
        <v>152612.16</v>
      </c>
      <c r="F127" s="130"/>
      <c r="G127" s="126">
        <v>0</v>
      </c>
      <c r="H127" s="126">
        <f t="shared" si="49"/>
        <v>100</v>
      </c>
      <c r="I127" s="126">
        <v>0</v>
      </c>
      <c r="J127" s="14">
        <v>0</v>
      </c>
    </row>
    <row r="128" spans="1:10" ht="12.75" customHeight="1" x14ac:dyDescent="0.2">
      <c r="A128" s="237"/>
      <c r="B128" s="155" t="s">
        <v>671</v>
      </c>
      <c r="C128" s="9">
        <v>0</v>
      </c>
      <c r="D128" s="9">
        <v>4000</v>
      </c>
      <c r="E128" s="130">
        <v>4500</v>
      </c>
      <c r="F128" s="130"/>
      <c r="G128" s="126">
        <v>0</v>
      </c>
      <c r="H128" s="126">
        <f t="shared" si="49"/>
        <v>112.5</v>
      </c>
      <c r="I128" s="126">
        <f t="shared" ref="I128" si="58">E128/J128*100</f>
        <v>45</v>
      </c>
      <c r="J128" s="14">
        <v>10000</v>
      </c>
    </row>
    <row r="129" spans="1:44" ht="12.75" customHeight="1" x14ac:dyDescent="0.2">
      <c r="A129" s="237"/>
      <c r="B129" s="155" t="s">
        <v>1071</v>
      </c>
      <c r="C129" s="9">
        <v>0</v>
      </c>
      <c r="D129" s="9">
        <v>1500</v>
      </c>
      <c r="E129" s="130">
        <v>1500</v>
      </c>
      <c r="F129" s="130"/>
      <c r="G129" s="126">
        <v>0</v>
      </c>
      <c r="H129" s="126">
        <f t="shared" si="49"/>
        <v>100</v>
      </c>
      <c r="I129" s="126">
        <v>0</v>
      </c>
      <c r="J129" s="14">
        <v>0</v>
      </c>
    </row>
    <row r="130" spans="1:44" ht="12.75" customHeight="1" x14ac:dyDescent="0.2">
      <c r="A130" s="237"/>
      <c r="B130" s="155" t="s">
        <v>670</v>
      </c>
      <c r="C130" s="126">
        <v>650000</v>
      </c>
      <c r="D130" s="126">
        <v>650000</v>
      </c>
      <c r="E130" s="130">
        <v>567328.1</v>
      </c>
      <c r="F130" s="130"/>
      <c r="G130" s="126">
        <f t="shared" si="52"/>
        <v>87.281246153846155</v>
      </c>
      <c r="H130" s="126">
        <f t="shared" si="49"/>
        <v>87.281246153846155</v>
      </c>
      <c r="I130" s="126">
        <f t="shared" si="44"/>
        <v>116.91684388627837</v>
      </c>
      <c r="J130" s="14">
        <v>485240.69</v>
      </c>
    </row>
    <row r="131" spans="1:44" ht="12.75" customHeight="1" x14ac:dyDescent="0.2">
      <c r="A131" s="237"/>
      <c r="B131" s="155" t="s">
        <v>669</v>
      </c>
      <c r="C131" s="126">
        <v>350000</v>
      </c>
      <c r="D131" s="126">
        <f>350000+100000</f>
        <v>450000</v>
      </c>
      <c r="E131" s="130">
        <v>544470.06999999995</v>
      </c>
      <c r="F131" s="130"/>
      <c r="G131" s="126">
        <f t="shared" si="52"/>
        <v>155.56287714285713</v>
      </c>
      <c r="H131" s="126">
        <f t="shared" si="49"/>
        <v>120.99334888888889</v>
      </c>
      <c r="I131" s="126">
        <f t="shared" si="44"/>
        <v>164.56265350391283</v>
      </c>
      <c r="J131" s="14">
        <v>330858.83</v>
      </c>
    </row>
    <row r="132" spans="1:44" s="377" customFormat="1" ht="12.75" customHeight="1" x14ac:dyDescent="0.2">
      <c r="A132" s="16"/>
      <c r="B132" s="15" t="s">
        <v>668</v>
      </c>
      <c r="C132" s="9">
        <v>65000</v>
      </c>
      <c r="D132" s="9">
        <v>65000</v>
      </c>
      <c r="E132" s="130">
        <v>50750</v>
      </c>
      <c r="F132" s="130"/>
      <c r="G132" s="126">
        <f t="shared" si="52"/>
        <v>78.07692307692308</v>
      </c>
      <c r="H132" s="126">
        <f t="shared" si="49"/>
        <v>78.07692307692308</v>
      </c>
      <c r="I132" s="126">
        <f t="shared" si="44"/>
        <v>71.078431372549019</v>
      </c>
      <c r="J132" s="14">
        <v>71400</v>
      </c>
      <c r="K132" s="375"/>
      <c r="L132" s="375"/>
      <c r="M132" s="375"/>
      <c r="N132" s="375"/>
      <c r="O132" s="375"/>
      <c r="P132" s="375"/>
      <c r="Q132" s="375"/>
      <c r="R132" s="375"/>
      <c r="S132" s="375"/>
      <c r="T132" s="375"/>
      <c r="U132" s="375"/>
      <c r="V132" s="375"/>
      <c r="W132" s="375"/>
      <c r="X132" s="375"/>
      <c r="Y132" s="375"/>
      <c r="Z132" s="375"/>
      <c r="AA132" s="375"/>
      <c r="AB132" s="375"/>
      <c r="AC132" s="375"/>
      <c r="AD132" s="375"/>
      <c r="AE132" s="375"/>
      <c r="AF132" s="375"/>
      <c r="AG132" s="375"/>
      <c r="AH132" s="375"/>
      <c r="AI132" s="375"/>
      <c r="AJ132" s="375"/>
      <c r="AK132" s="375"/>
      <c r="AL132" s="375"/>
      <c r="AM132" s="375"/>
      <c r="AN132" s="375"/>
      <c r="AO132" s="375"/>
      <c r="AP132" s="375"/>
      <c r="AQ132" s="375"/>
      <c r="AR132" s="375"/>
    </row>
    <row r="133" spans="1:44" s="377" customFormat="1" ht="12.75" customHeight="1" x14ac:dyDescent="0.2">
      <c r="A133" s="16"/>
      <c r="B133" s="15" t="s">
        <v>942</v>
      </c>
      <c r="C133" s="9">
        <v>0</v>
      </c>
      <c r="D133" s="9">
        <v>0</v>
      </c>
      <c r="E133" s="130">
        <v>1645.6</v>
      </c>
      <c r="F133" s="130"/>
      <c r="G133" s="126">
        <v>0</v>
      </c>
      <c r="H133" s="126">
        <v>0</v>
      </c>
      <c r="I133" s="126">
        <f t="shared" si="44"/>
        <v>6.4899570517548053</v>
      </c>
      <c r="J133" s="14">
        <v>25356.1</v>
      </c>
      <c r="K133" s="375"/>
      <c r="L133" s="375"/>
      <c r="M133" s="375"/>
      <c r="N133" s="375"/>
      <c r="O133" s="375"/>
      <c r="P133" s="375"/>
      <c r="Q133" s="375"/>
      <c r="R133" s="375"/>
      <c r="S133" s="375"/>
      <c r="T133" s="375"/>
      <c r="U133" s="375"/>
      <c r="V133" s="375"/>
      <c r="W133" s="375"/>
      <c r="X133" s="375"/>
      <c r="Y133" s="375"/>
      <c r="Z133" s="375"/>
      <c r="AA133" s="375"/>
      <c r="AB133" s="375"/>
      <c r="AC133" s="375"/>
      <c r="AD133" s="375"/>
      <c r="AE133" s="375"/>
      <c r="AF133" s="375"/>
      <c r="AG133" s="375"/>
      <c r="AH133" s="375"/>
      <c r="AI133" s="375"/>
      <c r="AJ133" s="375"/>
      <c r="AK133" s="375"/>
      <c r="AL133" s="375"/>
      <c r="AM133" s="375"/>
      <c r="AN133" s="375"/>
      <c r="AO133" s="375"/>
      <c r="AP133" s="375"/>
      <c r="AQ133" s="375"/>
      <c r="AR133" s="375"/>
    </row>
    <row r="134" spans="1:44" s="3" customFormat="1" ht="12.75" customHeight="1" x14ac:dyDescent="0.2">
      <c r="A134" s="180">
        <v>2222</v>
      </c>
      <c r="B134" s="123" t="s">
        <v>905</v>
      </c>
      <c r="C134" s="120">
        <v>0</v>
      </c>
      <c r="D134" s="120">
        <f>84689.93</f>
        <v>84689.93</v>
      </c>
      <c r="E134" s="121">
        <v>84689.93</v>
      </c>
      <c r="F134" s="130"/>
      <c r="G134" s="120">
        <v>0</v>
      </c>
      <c r="H134" s="120">
        <f t="shared" si="49"/>
        <v>100</v>
      </c>
      <c r="I134" s="120">
        <f t="shared" si="44"/>
        <v>468.7763372092702</v>
      </c>
      <c r="J134" s="14">
        <v>18066.169999999998</v>
      </c>
    </row>
    <row r="135" spans="1:44" s="375" customFormat="1" ht="12.75" customHeight="1" x14ac:dyDescent="0.2">
      <c r="A135" s="20">
        <v>2229</v>
      </c>
      <c r="B135" s="19" t="s">
        <v>667</v>
      </c>
      <c r="C135" s="25">
        <f>SUM(C136:C154)</f>
        <v>0</v>
      </c>
      <c r="D135" s="25">
        <f>SUM(D136:D160)</f>
        <v>5766760.9100000001</v>
      </c>
      <c r="E135" s="121">
        <v>5788075.8700000001</v>
      </c>
      <c r="F135" s="130">
        <f>SUM(E136:E160)</f>
        <v>5788075.8700000001</v>
      </c>
      <c r="G135" s="120">
        <v>0</v>
      </c>
      <c r="H135" s="120">
        <f t="shared" si="49"/>
        <v>100.36961754323886</v>
      </c>
      <c r="I135" s="120">
        <f t="shared" si="44"/>
        <v>239.84467310616867</v>
      </c>
      <c r="J135" s="14">
        <v>2413260.13</v>
      </c>
      <c r="K135" s="376"/>
      <c r="L135" s="663"/>
    </row>
    <row r="136" spans="1:44" s="375" customFormat="1" ht="12.75" customHeight="1" x14ac:dyDescent="0.2">
      <c r="A136" s="15"/>
      <c r="B136" s="15" t="s">
        <v>875</v>
      </c>
      <c r="C136" s="126">
        <v>0</v>
      </c>
      <c r="D136" s="126">
        <f>(65834.23+140191.92)</f>
        <v>206026.15000000002</v>
      </c>
      <c r="E136" s="10">
        <v>206026.15</v>
      </c>
      <c r="F136" s="10">
        <f>SUM(E136:E137)</f>
        <v>232516.15</v>
      </c>
      <c r="G136" s="126">
        <v>0</v>
      </c>
      <c r="H136" s="126">
        <f t="shared" si="49"/>
        <v>99.999999999999986</v>
      </c>
      <c r="I136" s="126">
        <f t="shared" si="44"/>
        <v>80.622028002580976</v>
      </c>
      <c r="J136" s="351">
        <v>255545.73</v>
      </c>
      <c r="K136" s="376"/>
    </row>
    <row r="137" spans="1:44" ht="12.75" customHeight="1" x14ac:dyDescent="0.2">
      <c r="A137" s="185"/>
      <c r="B137" s="185" t="s">
        <v>934</v>
      </c>
      <c r="C137" s="126">
        <v>0</v>
      </c>
      <c r="D137" s="126">
        <f>26490</f>
        <v>26490</v>
      </c>
      <c r="E137" s="371">
        <v>26490</v>
      </c>
      <c r="F137" s="370"/>
      <c r="G137" s="126">
        <v>0</v>
      </c>
      <c r="H137" s="126">
        <f t="shared" si="49"/>
        <v>100</v>
      </c>
      <c r="I137" s="126">
        <f t="shared" si="44"/>
        <v>123.78504672897196</v>
      </c>
      <c r="J137" s="351">
        <v>21400</v>
      </c>
      <c r="K137" s="341"/>
    </row>
    <row r="138" spans="1:44" s="375" customFormat="1" ht="12.75" customHeight="1" x14ac:dyDescent="0.2">
      <c r="A138" s="15"/>
      <c r="B138" s="15" t="s">
        <v>876</v>
      </c>
      <c r="C138" s="126">
        <v>0</v>
      </c>
      <c r="D138" s="126">
        <f>(308971.67+25523.77+77151.21+30113.25)</f>
        <v>441759.9</v>
      </c>
      <c r="E138" s="371">
        <v>441759.9</v>
      </c>
      <c r="F138" s="370"/>
      <c r="G138" s="126">
        <v>0</v>
      </c>
      <c r="H138" s="126">
        <f t="shared" si="49"/>
        <v>100</v>
      </c>
      <c r="I138" s="126">
        <f t="shared" si="44"/>
        <v>98.686241348588368</v>
      </c>
      <c r="J138" s="351">
        <v>447640.82</v>
      </c>
      <c r="K138" s="376"/>
    </row>
    <row r="139" spans="1:44" s="375" customFormat="1" ht="12.75" customHeight="1" x14ac:dyDescent="0.2">
      <c r="A139" s="15"/>
      <c r="B139" s="15" t="s">
        <v>999</v>
      </c>
      <c r="C139" s="126">
        <v>0</v>
      </c>
      <c r="D139" s="126">
        <v>80876.25</v>
      </c>
      <c r="E139" s="371">
        <v>80676.25</v>
      </c>
      <c r="F139" s="294"/>
      <c r="G139" s="126">
        <v>0</v>
      </c>
      <c r="H139" s="126">
        <f t="shared" si="49"/>
        <v>99.752708613468116</v>
      </c>
      <c r="I139" s="126">
        <f t="shared" si="44"/>
        <v>95.931873788310313</v>
      </c>
      <c r="J139" s="296">
        <v>84097.44</v>
      </c>
      <c r="K139" s="376"/>
    </row>
    <row r="140" spans="1:44" s="375" customFormat="1" ht="12.75" customHeight="1" x14ac:dyDescent="0.2">
      <c r="A140" s="15"/>
      <c r="B140" s="15" t="s">
        <v>996</v>
      </c>
      <c r="C140" s="126">
        <v>0</v>
      </c>
      <c r="D140" s="126">
        <f>148831.2</f>
        <v>148831.20000000001</v>
      </c>
      <c r="E140" s="371">
        <v>148831.20000000001</v>
      </c>
      <c r="F140" s="294"/>
      <c r="G140" s="126">
        <v>0</v>
      </c>
      <c r="H140" s="126">
        <f t="shared" si="49"/>
        <v>100</v>
      </c>
      <c r="I140" s="126">
        <f t="shared" si="44"/>
        <v>202.22564629344291</v>
      </c>
      <c r="J140" s="296">
        <v>73596.600000000006</v>
      </c>
      <c r="K140" s="376"/>
    </row>
    <row r="141" spans="1:44" s="375" customFormat="1" ht="12.75" customHeight="1" x14ac:dyDescent="0.2">
      <c r="A141" s="15"/>
      <c r="B141" s="15" t="s">
        <v>1003</v>
      </c>
      <c r="C141" s="126">
        <v>0</v>
      </c>
      <c r="D141" s="126">
        <f>50240.4</f>
        <v>50240.4</v>
      </c>
      <c r="E141" s="371">
        <v>50240.4</v>
      </c>
      <c r="F141" s="294"/>
      <c r="G141" s="126">
        <v>0</v>
      </c>
      <c r="H141" s="126">
        <f t="shared" ref="H141:H143" si="59">E141/D141*100</f>
        <v>100</v>
      </c>
      <c r="I141" s="126">
        <f t="shared" ref="I141" si="60">E141/J141*100</f>
        <v>147.18838439768672</v>
      </c>
      <c r="J141" s="296">
        <v>34133.4</v>
      </c>
      <c r="K141" s="376"/>
    </row>
    <row r="142" spans="1:44" s="375" customFormat="1" ht="12.75" customHeight="1" x14ac:dyDescent="0.2">
      <c r="A142" s="15"/>
      <c r="B142" s="15" t="s">
        <v>1023</v>
      </c>
      <c r="C142" s="126">
        <v>0</v>
      </c>
      <c r="D142" s="126">
        <v>3015</v>
      </c>
      <c r="E142" s="371">
        <v>3015</v>
      </c>
      <c r="F142" s="294"/>
      <c r="G142" s="126">
        <v>0</v>
      </c>
      <c r="H142" s="126">
        <f t="shared" si="59"/>
        <v>100</v>
      </c>
      <c r="I142" s="126">
        <v>0</v>
      </c>
      <c r="J142" s="296">
        <v>0</v>
      </c>
      <c r="K142" s="376"/>
    </row>
    <row r="143" spans="1:44" s="375" customFormat="1" ht="12.75" customHeight="1" x14ac:dyDescent="0.2">
      <c r="A143" s="15"/>
      <c r="B143" s="15" t="s">
        <v>1085</v>
      </c>
      <c r="C143" s="126">
        <v>0</v>
      </c>
      <c r="D143" s="126">
        <v>16912</v>
      </c>
      <c r="E143" s="371">
        <v>16912</v>
      </c>
      <c r="F143" s="294"/>
      <c r="G143" s="126">
        <v>0</v>
      </c>
      <c r="H143" s="126">
        <f t="shared" si="59"/>
        <v>100</v>
      </c>
      <c r="I143" s="126">
        <v>0</v>
      </c>
      <c r="J143" s="296">
        <v>0</v>
      </c>
      <c r="K143" s="376"/>
    </row>
    <row r="144" spans="1:44" s="375" customFormat="1" ht="12.75" customHeight="1" x14ac:dyDescent="0.2">
      <c r="A144" s="15"/>
      <c r="B144" s="15" t="s">
        <v>1028</v>
      </c>
      <c r="C144" s="126">
        <v>0</v>
      </c>
      <c r="D144" s="126">
        <v>115408</v>
      </c>
      <c r="E144" s="371">
        <v>115408</v>
      </c>
      <c r="F144" s="294"/>
      <c r="G144" s="126">
        <v>0</v>
      </c>
      <c r="H144" s="126">
        <f t="shared" si="49"/>
        <v>100</v>
      </c>
      <c r="I144" s="126">
        <v>0</v>
      </c>
      <c r="J144" s="296">
        <v>0</v>
      </c>
      <c r="K144" s="376"/>
    </row>
    <row r="145" spans="1:11" ht="12.75" customHeight="1" x14ac:dyDescent="0.2">
      <c r="A145" s="185"/>
      <c r="B145" s="185" t="s">
        <v>935</v>
      </c>
      <c r="C145" s="126">
        <v>0</v>
      </c>
      <c r="D145" s="126">
        <f>122549</f>
        <v>122549</v>
      </c>
      <c r="E145" s="371">
        <v>122549</v>
      </c>
      <c r="F145" s="370"/>
      <c r="G145" s="126">
        <v>0</v>
      </c>
      <c r="H145" s="126">
        <f t="shared" si="49"/>
        <v>100</v>
      </c>
      <c r="I145" s="126">
        <v>0</v>
      </c>
      <c r="J145" s="351">
        <v>0</v>
      </c>
      <c r="K145" s="341"/>
    </row>
    <row r="146" spans="1:11" s="375" customFormat="1" ht="12.75" customHeight="1" x14ac:dyDescent="0.2">
      <c r="A146" s="15"/>
      <c r="B146" s="15" t="s">
        <v>877</v>
      </c>
      <c r="C146" s="126">
        <v>0</v>
      </c>
      <c r="D146" s="126">
        <v>58335.59</v>
      </c>
      <c r="E146" s="371">
        <v>58335.59</v>
      </c>
      <c r="F146" s="370"/>
      <c r="G146" s="126">
        <v>0</v>
      </c>
      <c r="H146" s="126">
        <f t="shared" si="49"/>
        <v>100</v>
      </c>
      <c r="I146" s="126">
        <f t="shared" si="44"/>
        <v>216.35398543858017</v>
      </c>
      <c r="J146" s="351">
        <v>26963.03</v>
      </c>
      <c r="K146" s="376"/>
    </row>
    <row r="147" spans="1:11" s="375" customFormat="1" ht="12.75" customHeight="1" x14ac:dyDescent="0.2">
      <c r="A147" s="15"/>
      <c r="B147" s="15" t="s">
        <v>878</v>
      </c>
      <c r="C147" s="126">
        <v>0</v>
      </c>
      <c r="D147" s="126">
        <v>92743.77</v>
      </c>
      <c r="E147" s="371">
        <v>92743.77</v>
      </c>
      <c r="F147" s="370"/>
      <c r="G147" s="126">
        <v>0</v>
      </c>
      <c r="H147" s="126">
        <f t="shared" si="49"/>
        <v>100</v>
      </c>
      <c r="I147" s="126">
        <f t="shared" si="44"/>
        <v>55.193004901289534</v>
      </c>
      <c r="J147" s="351">
        <v>168035.37</v>
      </c>
      <c r="K147" s="376"/>
    </row>
    <row r="148" spans="1:11" s="375" customFormat="1" ht="12.75" customHeight="1" x14ac:dyDescent="0.2">
      <c r="A148" s="15"/>
      <c r="B148" s="15" t="s">
        <v>943</v>
      </c>
      <c r="C148" s="126">
        <v>0</v>
      </c>
      <c r="D148" s="126">
        <f>96359</f>
        <v>96359</v>
      </c>
      <c r="E148" s="371">
        <v>96359</v>
      </c>
      <c r="F148" s="370"/>
      <c r="G148" s="126">
        <v>0</v>
      </c>
      <c r="H148" s="126">
        <f t="shared" si="49"/>
        <v>100</v>
      </c>
      <c r="I148" s="126">
        <v>0</v>
      </c>
      <c r="J148" s="351">
        <v>0</v>
      </c>
      <c r="K148" s="376"/>
    </row>
    <row r="149" spans="1:11" s="375" customFormat="1" ht="12.75" customHeight="1" x14ac:dyDescent="0.2">
      <c r="A149" s="15"/>
      <c r="B149" s="15" t="s">
        <v>879</v>
      </c>
      <c r="C149" s="126">
        <v>0</v>
      </c>
      <c r="D149" s="126">
        <v>250414</v>
      </c>
      <c r="E149" s="371">
        <v>250414</v>
      </c>
      <c r="F149" s="370"/>
      <c r="G149" s="126">
        <v>0</v>
      </c>
      <c r="H149" s="126">
        <f t="shared" si="49"/>
        <v>100</v>
      </c>
      <c r="I149" s="126">
        <f t="shared" ref="I149:I175" si="61">E149/J149*100</f>
        <v>117.90334744861343</v>
      </c>
      <c r="J149" s="351">
        <v>212389.22</v>
      </c>
      <c r="K149" s="376"/>
    </row>
    <row r="150" spans="1:11" ht="12.75" customHeight="1" x14ac:dyDescent="0.2">
      <c r="A150" s="185"/>
      <c r="B150" s="185" t="s">
        <v>882</v>
      </c>
      <c r="C150" s="126">
        <v>0</v>
      </c>
      <c r="D150" s="126">
        <v>2888353.24</v>
      </c>
      <c r="E150" s="371">
        <v>2888353.24</v>
      </c>
      <c r="F150" s="370"/>
      <c r="G150" s="126">
        <v>0</v>
      </c>
      <c r="H150" s="126">
        <f>E150/D150*100</f>
        <v>100</v>
      </c>
      <c r="I150" s="126">
        <f t="shared" si="61"/>
        <v>542.31684986241419</v>
      </c>
      <c r="J150" s="351">
        <v>532595.15</v>
      </c>
      <c r="K150" s="341"/>
    </row>
    <row r="151" spans="1:11" ht="12.75" customHeight="1" x14ac:dyDescent="0.2">
      <c r="A151" s="185"/>
      <c r="B151" s="185" t="s">
        <v>932</v>
      </c>
      <c r="C151" s="126">
        <v>0</v>
      </c>
      <c r="D151" s="126">
        <f>(503779.56+214977+2616.8+37565+58168)</f>
        <v>817106.3600000001</v>
      </c>
      <c r="E151" s="371">
        <v>838621.32</v>
      </c>
      <c r="F151" s="370"/>
      <c r="G151" s="126">
        <v>0</v>
      </c>
      <c r="H151" s="126">
        <f t="shared" si="49"/>
        <v>102.63306725454933</v>
      </c>
      <c r="I151" s="126">
        <f t="shared" si="61"/>
        <v>288.02666565920572</v>
      </c>
      <c r="J151" s="351">
        <v>291161</v>
      </c>
      <c r="K151" s="341"/>
    </row>
    <row r="152" spans="1:11" ht="12.75" customHeight="1" x14ac:dyDescent="0.2">
      <c r="A152" s="185"/>
      <c r="B152" s="185" t="s">
        <v>933</v>
      </c>
      <c r="C152" s="126">
        <v>0</v>
      </c>
      <c r="D152" s="126">
        <f>6060</f>
        <v>6060</v>
      </c>
      <c r="E152" s="371">
        <v>6060</v>
      </c>
      <c r="F152" s="370"/>
      <c r="G152" s="126">
        <v>0</v>
      </c>
      <c r="H152" s="126">
        <f t="shared" si="49"/>
        <v>100</v>
      </c>
      <c r="I152" s="126">
        <f t="shared" si="61"/>
        <v>263.47826086956519</v>
      </c>
      <c r="J152" s="351">
        <v>2300</v>
      </c>
      <c r="K152" s="341"/>
    </row>
    <row r="153" spans="1:11" ht="12.75" customHeight="1" x14ac:dyDescent="0.2">
      <c r="A153" s="185"/>
      <c r="B153" s="185" t="s">
        <v>1065</v>
      </c>
      <c r="C153" s="126">
        <v>0</v>
      </c>
      <c r="D153" s="126">
        <v>1908</v>
      </c>
      <c r="E153" s="371">
        <v>1908</v>
      </c>
      <c r="F153" s="370"/>
      <c r="G153" s="126">
        <v>0</v>
      </c>
      <c r="H153" s="126">
        <f t="shared" si="49"/>
        <v>100</v>
      </c>
      <c r="I153" s="126">
        <v>0</v>
      </c>
      <c r="J153" s="351">
        <v>0</v>
      </c>
      <c r="K153" s="341"/>
    </row>
    <row r="154" spans="1:11" ht="12.75" customHeight="1" x14ac:dyDescent="0.2">
      <c r="A154" s="185"/>
      <c r="B154" s="185" t="s">
        <v>662</v>
      </c>
      <c r="C154" s="126">
        <v>0</v>
      </c>
      <c r="D154" s="126">
        <f>(111+3000)</f>
        <v>3111</v>
      </c>
      <c r="E154" s="371">
        <v>3111</v>
      </c>
      <c r="F154" s="370"/>
      <c r="G154" s="126">
        <v>0</v>
      </c>
      <c r="H154" s="126">
        <f t="shared" si="49"/>
        <v>100</v>
      </c>
      <c r="I154" s="126">
        <f t="shared" si="61"/>
        <v>13.766394333077713</v>
      </c>
      <c r="J154" s="351">
        <v>22598.51</v>
      </c>
      <c r="K154" s="341"/>
    </row>
    <row r="155" spans="1:11" ht="12.75" customHeight="1" x14ac:dyDescent="0.2">
      <c r="A155" s="185"/>
      <c r="B155" s="185" t="s">
        <v>1066</v>
      </c>
      <c r="C155" s="126">
        <v>0</v>
      </c>
      <c r="D155" s="126">
        <v>11302</v>
      </c>
      <c r="E155" s="371">
        <v>11302</v>
      </c>
      <c r="F155" s="370"/>
      <c r="G155" s="126">
        <v>0</v>
      </c>
      <c r="H155" s="126">
        <f t="shared" si="49"/>
        <v>100</v>
      </c>
      <c r="I155" s="126">
        <v>0</v>
      </c>
      <c r="J155" s="351">
        <v>0</v>
      </c>
      <c r="K155" s="341"/>
    </row>
    <row r="156" spans="1:11" ht="12.75" customHeight="1" x14ac:dyDescent="0.2">
      <c r="A156" s="185"/>
      <c r="B156" s="185" t="s">
        <v>1067</v>
      </c>
      <c r="C156" s="126">
        <v>0</v>
      </c>
      <c r="D156" s="126">
        <v>4647</v>
      </c>
      <c r="E156" s="371">
        <v>4647</v>
      </c>
      <c r="F156" s="370"/>
      <c r="G156" s="126">
        <v>0</v>
      </c>
      <c r="H156" s="126">
        <f t="shared" si="49"/>
        <v>100</v>
      </c>
      <c r="I156" s="126">
        <v>0</v>
      </c>
      <c r="J156" s="351">
        <v>0</v>
      </c>
      <c r="K156" s="341"/>
    </row>
    <row r="157" spans="1:11" ht="12.75" customHeight="1" x14ac:dyDescent="0.2">
      <c r="A157" s="185"/>
      <c r="B157" s="185" t="s">
        <v>1068</v>
      </c>
      <c r="C157" s="126">
        <v>0</v>
      </c>
      <c r="D157" s="126">
        <v>127000</v>
      </c>
      <c r="E157" s="371">
        <v>127000</v>
      </c>
      <c r="F157" s="370"/>
      <c r="G157" s="126">
        <v>0</v>
      </c>
      <c r="H157" s="126">
        <f t="shared" si="49"/>
        <v>100</v>
      </c>
      <c r="I157" s="126">
        <v>0</v>
      </c>
      <c r="J157" s="351">
        <v>0</v>
      </c>
      <c r="K157" s="341"/>
    </row>
    <row r="158" spans="1:11" ht="12.75" customHeight="1" x14ac:dyDescent="0.2">
      <c r="A158" s="185"/>
      <c r="B158" s="185" t="s">
        <v>1069</v>
      </c>
      <c r="C158" s="126">
        <v>0</v>
      </c>
      <c r="D158" s="126">
        <v>80648</v>
      </c>
      <c r="E158" s="371">
        <v>80648</v>
      </c>
      <c r="F158" s="370"/>
      <c r="G158" s="126">
        <v>0</v>
      </c>
      <c r="H158" s="126">
        <f t="shared" si="49"/>
        <v>100</v>
      </c>
      <c r="I158" s="126">
        <v>0</v>
      </c>
      <c r="J158" s="351">
        <v>0</v>
      </c>
      <c r="K158" s="341"/>
    </row>
    <row r="159" spans="1:11" ht="12.75" customHeight="1" x14ac:dyDescent="0.2">
      <c r="A159" s="185"/>
      <c r="B159" s="185" t="s">
        <v>1070</v>
      </c>
      <c r="C159" s="126">
        <v>0</v>
      </c>
      <c r="D159" s="126">
        <v>108240.05</v>
      </c>
      <c r="E159" s="371">
        <v>108240.05</v>
      </c>
      <c r="F159" s="370"/>
      <c r="G159" s="126">
        <v>0</v>
      </c>
      <c r="H159" s="126">
        <f t="shared" si="49"/>
        <v>100</v>
      </c>
      <c r="I159" s="126">
        <v>0</v>
      </c>
      <c r="J159" s="351">
        <v>0</v>
      </c>
      <c r="K159" s="341"/>
    </row>
    <row r="160" spans="1:11" ht="12.75" customHeight="1" x14ac:dyDescent="0.2">
      <c r="A160" s="185"/>
      <c r="B160" s="185" t="s">
        <v>1072</v>
      </c>
      <c r="C160" s="126">
        <v>0</v>
      </c>
      <c r="D160" s="126">
        <v>8425</v>
      </c>
      <c r="E160" s="371">
        <v>8425</v>
      </c>
      <c r="F160" s="370"/>
      <c r="G160" s="126">
        <v>0</v>
      </c>
      <c r="H160" s="126">
        <f t="shared" si="49"/>
        <v>100</v>
      </c>
      <c r="I160" s="126">
        <v>0</v>
      </c>
      <c r="J160" s="351">
        <v>0</v>
      </c>
      <c r="K160" s="341"/>
    </row>
    <row r="161" spans="1:10" ht="12.75" customHeight="1" x14ac:dyDescent="0.2">
      <c r="A161" s="180">
        <v>2310</v>
      </c>
      <c r="B161" s="123" t="s">
        <v>661</v>
      </c>
      <c r="C161" s="120">
        <v>0</v>
      </c>
      <c r="D161" s="120">
        <f>49000+9075</f>
        <v>58075</v>
      </c>
      <c r="E161" s="533">
        <f>9075+49000</f>
        <v>58075</v>
      </c>
      <c r="F161" s="370"/>
      <c r="G161" s="120">
        <v>0</v>
      </c>
      <c r="H161" s="120">
        <f t="shared" si="49"/>
        <v>100</v>
      </c>
      <c r="I161" s="120">
        <f t="shared" si="61"/>
        <v>3326.1741122565863</v>
      </c>
      <c r="J161" s="351">
        <v>1746</v>
      </c>
    </row>
    <row r="162" spans="1:10" ht="12.75" customHeight="1" x14ac:dyDescent="0.2">
      <c r="A162" s="180">
        <v>2321</v>
      </c>
      <c r="B162" s="123" t="s">
        <v>660</v>
      </c>
      <c r="C162" s="120">
        <v>150000</v>
      </c>
      <c r="D162" s="120">
        <f>150000-100000-50000+150000+35000</f>
        <v>185000</v>
      </c>
      <c r="E162" s="481">
        <f>100000+50000+35000</f>
        <v>185000</v>
      </c>
      <c r="F162" s="294"/>
      <c r="G162" s="120">
        <f t="shared" si="52"/>
        <v>123.33333333333334</v>
      </c>
      <c r="H162" s="120">
        <f t="shared" si="49"/>
        <v>100</v>
      </c>
      <c r="I162" s="120">
        <f t="shared" si="61"/>
        <v>200.65075921908891</v>
      </c>
      <c r="J162" s="296">
        <v>92200</v>
      </c>
    </row>
    <row r="163" spans="1:10" ht="12.75" customHeight="1" x14ac:dyDescent="0.2">
      <c r="A163" s="180">
        <v>2322</v>
      </c>
      <c r="B163" s="123" t="s">
        <v>659</v>
      </c>
      <c r="C163" s="120">
        <v>0</v>
      </c>
      <c r="D163" s="120">
        <f>8732+15883+(35845+6600+20000)+49991+(140582+10495)</f>
        <v>288128</v>
      </c>
      <c r="E163" s="481">
        <f>96054+29569+235675</f>
        <v>361298</v>
      </c>
      <c r="G163" s="120">
        <v>0</v>
      </c>
      <c r="H163" s="120">
        <f t="shared" si="49"/>
        <v>125.39496334962239</v>
      </c>
      <c r="I163" s="120">
        <f t="shared" si="61"/>
        <v>109.10653873096705</v>
      </c>
      <c r="J163" s="296">
        <v>331142.39</v>
      </c>
    </row>
    <row r="164" spans="1:10" s="3" customFormat="1" ht="12.75" customHeight="1" x14ac:dyDescent="0.2">
      <c r="A164" s="180">
        <v>2324</v>
      </c>
      <c r="B164" s="123" t="s">
        <v>658</v>
      </c>
      <c r="C164" s="122">
        <f>SUM(C165:C181)</f>
        <v>2671000</v>
      </c>
      <c r="D164" s="122">
        <f>SUM(D165:D181)</f>
        <v>3078011.48</v>
      </c>
      <c r="E164" s="481">
        <v>3947820.84</v>
      </c>
      <c r="F164" s="294">
        <f>SUM(E165:E181)</f>
        <v>3947820.84</v>
      </c>
      <c r="G164" s="120">
        <f t="shared" si="52"/>
        <v>147.80310146012729</v>
      </c>
      <c r="H164" s="120">
        <f t="shared" si="49"/>
        <v>128.25880818352243</v>
      </c>
      <c r="I164" s="120">
        <f t="shared" si="61"/>
        <v>37.287142665053274</v>
      </c>
      <c r="J164" s="296">
        <v>10587619.640000001</v>
      </c>
    </row>
    <row r="165" spans="1:10" s="3" customFormat="1" ht="12.75" customHeight="1" x14ac:dyDescent="0.2">
      <c r="A165" s="180"/>
      <c r="B165" s="665" t="s">
        <v>906</v>
      </c>
      <c r="C165" s="126">
        <v>0</v>
      </c>
      <c r="D165" s="126">
        <v>1267</v>
      </c>
      <c r="E165" s="371">
        <v>1267</v>
      </c>
      <c r="F165" s="294">
        <f>E164-F164</f>
        <v>0</v>
      </c>
      <c r="G165" s="126">
        <v>0</v>
      </c>
      <c r="H165" s="126">
        <f t="shared" si="49"/>
        <v>100</v>
      </c>
      <c r="I165" s="126">
        <v>0</v>
      </c>
      <c r="J165" s="296">
        <v>0</v>
      </c>
    </row>
    <row r="166" spans="1:10" s="3" customFormat="1" ht="12.75" customHeight="1" x14ac:dyDescent="0.2">
      <c r="A166" s="180"/>
      <c r="B166" s="131" t="s">
        <v>657</v>
      </c>
      <c r="C166" s="126">
        <v>8000</v>
      </c>
      <c r="D166" s="126">
        <f>8000+812.69</f>
        <v>8812.69</v>
      </c>
      <c r="E166" s="371">
        <v>12612.24</v>
      </c>
      <c r="F166" s="294"/>
      <c r="G166" s="126">
        <f t="shared" si="52"/>
        <v>157.65299999999999</v>
      </c>
      <c r="H166" s="126">
        <f t="shared" si="49"/>
        <v>143.11453143137908</v>
      </c>
      <c r="I166" s="126">
        <f t="shared" si="61"/>
        <v>142.15779981965736</v>
      </c>
      <c r="J166" s="296">
        <v>8872</v>
      </c>
    </row>
    <row r="167" spans="1:10" s="3" customFormat="1" ht="12.75" customHeight="1" x14ac:dyDescent="0.2">
      <c r="A167" s="180"/>
      <c r="B167" s="131" t="s">
        <v>656</v>
      </c>
      <c r="C167" s="126">
        <v>30000</v>
      </c>
      <c r="D167" s="126">
        <v>30000</v>
      </c>
      <c r="E167" s="10">
        <v>41000</v>
      </c>
      <c r="F167" s="515"/>
      <c r="G167" s="126">
        <f t="shared" si="52"/>
        <v>136.66666666666666</v>
      </c>
      <c r="H167" s="126">
        <f t="shared" si="49"/>
        <v>136.66666666666666</v>
      </c>
      <c r="I167" s="126">
        <f t="shared" si="61"/>
        <v>92.550790067720087</v>
      </c>
      <c r="J167" s="14">
        <v>44300</v>
      </c>
    </row>
    <row r="168" spans="1:10" s="3" customFormat="1" ht="12.75" customHeight="1" x14ac:dyDescent="0.2">
      <c r="A168" s="180"/>
      <c r="B168" s="131" t="s">
        <v>655</v>
      </c>
      <c r="C168" s="126">
        <v>250000</v>
      </c>
      <c r="D168" s="126">
        <v>250000</v>
      </c>
      <c r="E168" s="10">
        <v>144776.9</v>
      </c>
      <c r="F168" s="515"/>
      <c r="G168" s="126">
        <f t="shared" si="52"/>
        <v>57.910759999999996</v>
      </c>
      <c r="H168" s="126">
        <f t="shared" si="49"/>
        <v>57.910759999999996</v>
      </c>
      <c r="I168" s="126">
        <f t="shared" si="61"/>
        <v>64.944166468767691</v>
      </c>
      <c r="J168" s="14">
        <v>222925.18</v>
      </c>
    </row>
    <row r="169" spans="1:10" s="3" customFormat="1" ht="12.75" customHeight="1" x14ac:dyDescent="0.2">
      <c r="A169" s="180"/>
      <c r="B169" s="131" t="s">
        <v>1060</v>
      </c>
      <c r="C169" s="126">
        <v>0</v>
      </c>
      <c r="D169" s="126">
        <v>18042.79</v>
      </c>
      <c r="E169" s="10">
        <v>18042.79</v>
      </c>
      <c r="F169" s="130"/>
      <c r="G169" s="126">
        <v>0</v>
      </c>
      <c r="H169" s="126">
        <f t="shared" ref="H169" si="62">E169/D169*100</f>
        <v>100</v>
      </c>
      <c r="I169" s="126">
        <v>0</v>
      </c>
      <c r="J169" s="14">
        <v>0</v>
      </c>
    </row>
    <row r="170" spans="1:10" s="3" customFormat="1" ht="12.75" customHeight="1" x14ac:dyDescent="0.2">
      <c r="A170" s="180"/>
      <c r="B170" s="131" t="s">
        <v>654</v>
      </c>
      <c r="C170" s="126">
        <v>200000</v>
      </c>
      <c r="D170" s="126">
        <f>200000+80840+59160+80000</f>
        <v>420000</v>
      </c>
      <c r="E170" s="10">
        <v>502799.51</v>
      </c>
      <c r="F170" s="130"/>
      <c r="G170" s="126">
        <f t="shared" si="52"/>
        <v>251.399755</v>
      </c>
      <c r="H170" s="126">
        <f t="shared" si="49"/>
        <v>119.71416904761905</v>
      </c>
      <c r="I170" s="126">
        <f t="shared" si="61"/>
        <v>127.93462025644658</v>
      </c>
      <c r="J170" s="14">
        <v>393012.86</v>
      </c>
    </row>
    <row r="171" spans="1:10" s="3" customFormat="1" ht="12.75" customHeight="1" x14ac:dyDescent="0.2">
      <c r="A171" s="180"/>
      <c r="B171" s="131" t="s">
        <v>653</v>
      </c>
      <c r="C171" s="126">
        <v>10000</v>
      </c>
      <c r="D171" s="126">
        <v>10000</v>
      </c>
      <c r="E171" s="10">
        <v>68992.12</v>
      </c>
      <c r="F171" s="130"/>
      <c r="G171" s="126">
        <f t="shared" si="52"/>
        <v>689.9212</v>
      </c>
      <c r="H171" s="126">
        <f t="shared" si="49"/>
        <v>689.9212</v>
      </c>
      <c r="I171" s="126">
        <f t="shared" si="61"/>
        <v>1.019729572007124</v>
      </c>
      <c r="J171" s="14">
        <v>6765727.0999999996</v>
      </c>
    </row>
    <row r="172" spans="1:10" ht="12.75" customHeight="1" x14ac:dyDescent="0.2">
      <c r="A172" s="373"/>
      <c r="B172" s="372" t="s">
        <v>1064</v>
      </c>
      <c r="C172" s="126">
        <v>0</v>
      </c>
      <c r="D172" s="126">
        <v>72600</v>
      </c>
      <c r="E172" s="10">
        <v>72600</v>
      </c>
      <c r="F172" s="130"/>
      <c r="G172" s="126">
        <v>0</v>
      </c>
      <c r="H172" s="126">
        <f t="shared" ref="H172" si="63">E172/D172*100</f>
        <v>100</v>
      </c>
      <c r="I172" s="126">
        <v>0</v>
      </c>
      <c r="J172" s="14">
        <v>0</v>
      </c>
    </row>
    <row r="173" spans="1:10" ht="12.75" customHeight="1" x14ac:dyDescent="0.2">
      <c r="A173" s="373"/>
      <c r="B173" s="372" t="s">
        <v>650</v>
      </c>
      <c r="C173" s="126">
        <v>50000</v>
      </c>
      <c r="D173" s="126">
        <v>50000</v>
      </c>
      <c r="E173" s="10">
        <v>1000</v>
      </c>
      <c r="F173" s="130"/>
      <c r="G173" s="126">
        <f t="shared" si="52"/>
        <v>2</v>
      </c>
      <c r="H173" s="126">
        <f t="shared" si="49"/>
        <v>2</v>
      </c>
      <c r="I173" s="126">
        <f t="shared" si="61"/>
        <v>1.9762845849802373</v>
      </c>
      <c r="J173" s="14">
        <v>50600</v>
      </c>
    </row>
    <row r="174" spans="1:10" s="144" customFormat="1" ht="12.75" customHeight="1" x14ac:dyDescent="0.2">
      <c r="A174" s="237"/>
      <c r="B174" s="155" t="s">
        <v>649</v>
      </c>
      <c r="C174" s="9">
        <v>2000000</v>
      </c>
      <c r="D174" s="9">
        <v>2000000</v>
      </c>
      <c r="E174" s="75">
        <v>2847058</v>
      </c>
      <c r="F174" s="374"/>
      <c r="G174" s="126">
        <f t="shared" ref="G174:G189" si="64">E174/C174*100</f>
        <v>142.35290000000001</v>
      </c>
      <c r="H174" s="126">
        <f t="shared" si="49"/>
        <v>142.35290000000001</v>
      </c>
      <c r="I174" s="126">
        <f t="shared" si="61"/>
        <v>108.68794901581573</v>
      </c>
      <c r="J174" s="14">
        <v>2619479</v>
      </c>
    </row>
    <row r="175" spans="1:10" s="144" customFormat="1" ht="12.75" customHeight="1" x14ac:dyDescent="0.2">
      <c r="A175" s="237"/>
      <c r="B175" s="155" t="s">
        <v>648</v>
      </c>
      <c r="C175" s="9">
        <v>0</v>
      </c>
      <c r="D175" s="9">
        <v>4500</v>
      </c>
      <c r="E175" s="10">
        <v>4000</v>
      </c>
      <c r="F175" s="130"/>
      <c r="G175" s="126">
        <v>0</v>
      </c>
      <c r="H175" s="126">
        <f t="shared" si="49"/>
        <v>88.888888888888886</v>
      </c>
      <c r="I175" s="126">
        <f t="shared" si="61"/>
        <v>200</v>
      </c>
      <c r="J175" s="296">
        <v>2000</v>
      </c>
    </row>
    <row r="176" spans="1:10" s="144" customFormat="1" ht="12.75" customHeight="1" x14ac:dyDescent="0.2">
      <c r="A176" s="237"/>
      <c r="B176" s="155" t="s">
        <v>647</v>
      </c>
      <c r="C176" s="126">
        <v>0</v>
      </c>
      <c r="D176" s="126">
        <v>2000</v>
      </c>
      <c r="E176" s="371">
        <v>2000</v>
      </c>
      <c r="F176" s="294"/>
      <c r="G176" s="126">
        <v>0</v>
      </c>
      <c r="H176" s="126">
        <f t="shared" si="49"/>
        <v>100</v>
      </c>
      <c r="I176" s="126">
        <v>0</v>
      </c>
      <c r="J176" s="296">
        <v>0</v>
      </c>
    </row>
    <row r="177" spans="1:10" s="144" customFormat="1" ht="12.75" customHeight="1" x14ac:dyDescent="0.2">
      <c r="A177" s="237"/>
      <c r="B177" s="155" t="s">
        <v>993</v>
      </c>
      <c r="C177" s="126">
        <v>0</v>
      </c>
      <c r="D177" s="126">
        <v>87789</v>
      </c>
      <c r="E177" s="371">
        <v>130055.44</v>
      </c>
      <c r="F177" s="294"/>
      <c r="G177" s="126">
        <v>0</v>
      </c>
      <c r="H177" s="126">
        <f t="shared" si="49"/>
        <v>148.14548519746208</v>
      </c>
      <c r="I177" s="126">
        <v>0</v>
      </c>
      <c r="J177" s="296">
        <v>0</v>
      </c>
    </row>
    <row r="178" spans="1:10" s="144" customFormat="1" ht="12.75" customHeight="1" x14ac:dyDescent="0.2">
      <c r="A178" s="237"/>
      <c r="B178" s="155" t="s">
        <v>646</v>
      </c>
      <c r="C178" s="126">
        <v>3000</v>
      </c>
      <c r="D178" s="126">
        <v>3000</v>
      </c>
      <c r="E178" s="371">
        <v>3243.79</v>
      </c>
      <c r="F178" s="294"/>
      <c r="G178" s="126">
        <f t="shared" si="64"/>
        <v>108.12633333333332</v>
      </c>
      <c r="H178" s="126">
        <f t="shared" si="49"/>
        <v>108.12633333333332</v>
      </c>
      <c r="I178" s="126">
        <f t="shared" ref="I178:I194" si="65">E178/J178*100</f>
        <v>556.39622641509425</v>
      </c>
      <c r="J178" s="296">
        <v>583</v>
      </c>
    </row>
    <row r="179" spans="1:10" s="144" customFormat="1" ht="12.75" customHeight="1" x14ac:dyDescent="0.2">
      <c r="A179" s="237"/>
      <c r="B179" s="155" t="s">
        <v>645</v>
      </c>
      <c r="C179" s="126">
        <v>70000</v>
      </c>
      <c r="D179" s="126">
        <v>70000</v>
      </c>
      <c r="E179" s="371">
        <v>57641.73</v>
      </c>
      <c r="F179" s="294">
        <f>SUM(E179:E181)</f>
        <v>98373.050000000017</v>
      </c>
      <c r="G179" s="126">
        <f t="shared" si="64"/>
        <v>82.345328571428581</v>
      </c>
      <c r="H179" s="126">
        <f t="shared" si="49"/>
        <v>82.345328571428581</v>
      </c>
      <c r="I179" s="126">
        <f t="shared" si="65"/>
        <v>68.629612312668755</v>
      </c>
      <c r="J179" s="296">
        <v>83989.59</v>
      </c>
    </row>
    <row r="180" spans="1:10" s="144" customFormat="1" ht="12.75" customHeight="1" x14ac:dyDescent="0.2">
      <c r="A180" s="237"/>
      <c r="B180" s="155" t="s">
        <v>944</v>
      </c>
      <c r="C180" s="126">
        <v>0</v>
      </c>
      <c r="D180" s="126">
        <v>0</v>
      </c>
      <c r="E180" s="371">
        <v>17617.5</v>
      </c>
      <c r="F180" s="294"/>
      <c r="G180" s="126">
        <v>0</v>
      </c>
      <c r="H180" s="126">
        <v>0</v>
      </c>
      <c r="I180" s="126">
        <f t="shared" si="65"/>
        <v>172.72905534585027</v>
      </c>
      <c r="J180" s="296">
        <v>10199.5</v>
      </c>
    </row>
    <row r="181" spans="1:10" s="144" customFormat="1" ht="12.75" customHeight="1" x14ac:dyDescent="0.2">
      <c r="A181" s="237"/>
      <c r="B181" s="155" t="s">
        <v>643</v>
      </c>
      <c r="C181" s="126">
        <v>50000</v>
      </c>
      <c r="D181" s="126">
        <v>50000</v>
      </c>
      <c r="E181" s="371">
        <v>23113.82</v>
      </c>
      <c r="F181" s="294"/>
      <c r="G181" s="126">
        <f t="shared" si="64"/>
        <v>46.227640000000001</v>
      </c>
      <c r="H181" s="126">
        <f t="shared" si="49"/>
        <v>46.227640000000001</v>
      </c>
      <c r="I181" s="126">
        <f t="shared" si="65"/>
        <v>35.52179126873903</v>
      </c>
      <c r="J181" s="296">
        <v>65069.41</v>
      </c>
    </row>
    <row r="182" spans="1:10" ht="12.75" customHeight="1" x14ac:dyDescent="0.2">
      <c r="A182" s="180">
        <v>2328</v>
      </c>
      <c r="B182" s="123" t="s">
        <v>641</v>
      </c>
      <c r="C182" s="120">
        <v>0</v>
      </c>
      <c r="D182" s="120">
        <v>0</v>
      </c>
      <c r="E182" s="481">
        <v>35913.58</v>
      </c>
      <c r="F182" s="294"/>
      <c r="G182" s="120">
        <v>0</v>
      </c>
      <c r="H182" s="120">
        <v>0</v>
      </c>
      <c r="I182" s="120">
        <f t="shared" si="65"/>
        <v>294.95384362680682</v>
      </c>
      <c r="J182" s="296">
        <v>12176</v>
      </c>
    </row>
    <row r="183" spans="1:10" s="3" customFormat="1" ht="12.75" customHeight="1" x14ac:dyDescent="0.2">
      <c r="A183" s="180">
        <v>2329</v>
      </c>
      <c r="B183" s="123" t="s">
        <v>640</v>
      </c>
      <c r="C183" s="122">
        <f>SUM(C185:C194)</f>
        <v>360000</v>
      </c>
      <c r="D183" s="122">
        <f>SUM(D184:D194)</f>
        <v>704975.9</v>
      </c>
      <c r="E183" s="481">
        <v>762940.23</v>
      </c>
      <c r="F183" s="294">
        <f>SUM(E184:E194)</f>
        <v>762940.2300000001</v>
      </c>
      <c r="G183" s="120">
        <f t="shared" si="64"/>
        <v>211.92784166666664</v>
      </c>
      <c r="H183" s="120">
        <f t="shared" ref="H183:H203" si="66">E183/D183*100</f>
        <v>108.2221718501299</v>
      </c>
      <c r="I183" s="120">
        <f t="shared" si="65"/>
        <v>88.21929158082439</v>
      </c>
      <c r="J183" s="296">
        <v>864822.44</v>
      </c>
    </row>
    <row r="184" spans="1:10" ht="12.75" customHeight="1" x14ac:dyDescent="0.2">
      <c r="A184" s="237"/>
      <c r="B184" s="155" t="s">
        <v>1062</v>
      </c>
      <c r="C184" s="126">
        <v>0</v>
      </c>
      <c r="D184" s="126">
        <v>57218</v>
      </c>
      <c r="E184" s="368">
        <v>57218</v>
      </c>
      <c r="F184" s="294"/>
      <c r="G184" s="126">
        <v>0</v>
      </c>
      <c r="H184" s="126">
        <f t="shared" si="66"/>
        <v>100</v>
      </c>
      <c r="I184" s="126">
        <v>0</v>
      </c>
      <c r="J184" s="296">
        <v>0</v>
      </c>
    </row>
    <row r="185" spans="1:10" ht="12.75" customHeight="1" x14ac:dyDescent="0.2">
      <c r="A185" s="237"/>
      <c r="B185" s="155" t="s">
        <v>637</v>
      </c>
      <c r="C185" s="126">
        <v>0</v>
      </c>
      <c r="D185" s="126">
        <v>250000</v>
      </c>
      <c r="E185" s="368">
        <v>305719.59000000003</v>
      </c>
      <c r="F185" s="294"/>
      <c r="G185" s="126">
        <v>0</v>
      </c>
      <c r="H185" s="126">
        <f t="shared" si="66"/>
        <v>122.28783600000001</v>
      </c>
      <c r="I185" s="126">
        <f>E185/J185*100</f>
        <v>167.36301350177686</v>
      </c>
      <c r="J185" s="296">
        <v>182668.55</v>
      </c>
    </row>
    <row r="186" spans="1:10" ht="12.75" customHeight="1" x14ac:dyDescent="0.2">
      <c r="A186" s="237"/>
      <c r="B186" s="155" t="s">
        <v>636</v>
      </c>
      <c r="C186" s="126">
        <v>0</v>
      </c>
      <c r="D186" s="126">
        <v>0</v>
      </c>
      <c r="E186" s="130">
        <v>109984.32000000001</v>
      </c>
      <c r="F186" s="130"/>
      <c r="G186" s="126">
        <v>0</v>
      </c>
      <c r="H186" s="126">
        <v>0</v>
      </c>
      <c r="I186" s="126">
        <v>0</v>
      </c>
      <c r="J186" s="14">
        <v>0</v>
      </c>
    </row>
    <row r="187" spans="1:10" ht="12.75" customHeight="1" x14ac:dyDescent="0.2">
      <c r="A187" s="237"/>
      <c r="B187" s="155" t="s">
        <v>635</v>
      </c>
      <c r="C187" s="126">
        <v>270000</v>
      </c>
      <c r="D187" s="126">
        <v>270000</v>
      </c>
      <c r="E187" s="294">
        <v>165240</v>
      </c>
      <c r="F187" s="14"/>
      <c r="G187" s="126">
        <f t="shared" si="64"/>
        <v>61.199999999999996</v>
      </c>
      <c r="H187" s="126">
        <f t="shared" ref="H187" si="67">E187/D187*100</f>
        <v>61.199999999999996</v>
      </c>
      <c r="I187" s="126">
        <f t="shared" si="65"/>
        <v>58.998145507336211</v>
      </c>
      <c r="J187" s="296">
        <v>280076.59999999998</v>
      </c>
    </row>
    <row r="188" spans="1:10" ht="12.75" customHeight="1" x14ac:dyDescent="0.2">
      <c r="A188" s="237"/>
      <c r="B188" s="155" t="s">
        <v>634</v>
      </c>
      <c r="C188" s="126">
        <v>50000</v>
      </c>
      <c r="D188" s="126">
        <v>50000</v>
      </c>
      <c r="E188" s="130">
        <v>39789.4</v>
      </c>
      <c r="F188" s="130"/>
      <c r="G188" s="126">
        <f t="shared" si="64"/>
        <v>79.578800000000001</v>
      </c>
      <c r="H188" s="126">
        <f t="shared" si="66"/>
        <v>79.578800000000001</v>
      </c>
      <c r="I188" s="126">
        <f t="shared" si="65"/>
        <v>25.385575964913659</v>
      </c>
      <c r="J188" s="14">
        <v>156740.19</v>
      </c>
    </row>
    <row r="189" spans="1:10" ht="12.75" customHeight="1" x14ac:dyDescent="0.2">
      <c r="A189" s="237"/>
      <c r="B189" s="155" t="s">
        <v>633</v>
      </c>
      <c r="C189" s="126">
        <v>40000</v>
      </c>
      <c r="D189" s="126">
        <v>40000</v>
      </c>
      <c r="E189" s="368">
        <v>41880</v>
      </c>
      <c r="F189" s="294"/>
      <c r="G189" s="126">
        <f t="shared" si="64"/>
        <v>104.69999999999999</v>
      </c>
      <c r="H189" s="126">
        <f t="shared" si="66"/>
        <v>104.69999999999999</v>
      </c>
      <c r="I189" s="126">
        <f t="shared" si="65"/>
        <v>99.112531061412852</v>
      </c>
      <c r="J189" s="296">
        <v>42255</v>
      </c>
    </row>
    <row r="190" spans="1:10" ht="12.75" customHeight="1" x14ac:dyDescent="0.2">
      <c r="A190" s="237"/>
      <c r="B190" s="155" t="s">
        <v>632</v>
      </c>
      <c r="C190" s="126">
        <v>0</v>
      </c>
      <c r="D190" s="126">
        <v>3041</v>
      </c>
      <c r="E190" s="368">
        <v>3041</v>
      </c>
      <c r="F190" s="294"/>
      <c r="G190" s="126">
        <v>0</v>
      </c>
      <c r="H190" s="126">
        <f t="shared" si="66"/>
        <v>100</v>
      </c>
      <c r="I190" s="126">
        <f t="shared" si="65"/>
        <v>99.492884017667265</v>
      </c>
      <c r="J190" s="296">
        <v>3056.5</v>
      </c>
    </row>
    <row r="191" spans="1:10" ht="12.75" customHeight="1" x14ac:dyDescent="0.2">
      <c r="A191" s="237"/>
      <c r="B191" s="155" t="s">
        <v>945</v>
      </c>
      <c r="C191" s="127">
        <v>0</v>
      </c>
      <c r="D191" s="127">
        <f>6616</f>
        <v>6616</v>
      </c>
      <c r="E191" s="368">
        <v>6616</v>
      </c>
      <c r="F191" s="297"/>
      <c r="G191" s="126">
        <v>0</v>
      </c>
      <c r="H191" s="126">
        <f t="shared" si="66"/>
        <v>100</v>
      </c>
      <c r="I191" s="126">
        <f t="shared" si="65"/>
        <v>116.80790960451976</v>
      </c>
      <c r="J191" s="351">
        <v>5664</v>
      </c>
    </row>
    <row r="192" spans="1:10" ht="12.75" customHeight="1" x14ac:dyDescent="0.2">
      <c r="A192" s="237"/>
      <c r="B192" s="155" t="s">
        <v>1010</v>
      </c>
      <c r="C192" s="126">
        <v>0</v>
      </c>
      <c r="D192" s="126">
        <f>1641</f>
        <v>1641</v>
      </c>
      <c r="E192" s="368">
        <v>1641</v>
      </c>
      <c r="F192" s="294"/>
      <c r="G192" s="126">
        <v>0</v>
      </c>
      <c r="H192" s="126">
        <f t="shared" si="66"/>
        <v>100</v>
      </c>
      <c r="I192" s="126">
        <v>0</v>
      </c>
      <c r="J192" s="296">
        <v>0</v>
      </c>
    </row>
    <row r="193" spans="1:10" ht="12.75" customHeight="1" x14ac:dyDescent="0.2">
      <c r="A193" s="237"/>
      <c r="B193" s="155" t="s">
        <v>1052</v>
      </c>
      <c r="C193" s="126">
        <v>0</v>
      </c>
      <c r="D193" s="126">
        <f>26459.9</f>
        <v>26459.9</v>
      </c>
      <c r="E193" s="368">
        <v>26459.9</v>
      </c>
      <c r="F193" s="294"/>
      <c r="G193" s="126">
        <v>0</v>
      </c>
      <c r="H193" s="126">
        <f t="shared" si="66"/>
        <v>100</v>
      </c>
      <c r="I193" s="126">
        <f t="shared" si="65"/>
        <v>251.57735605081007</v>
      </c>
      <c r="J193" s="296">
        <v>10517.6</v>
      </c>
    </row>
    <row r="194" spans="1:10" ht="12.75" customHeight="1" x14ac:dyDescent="0.2">
      <c r="A194" s="237"/>
      <c r="B194" s="155" t="s">
        <v>629</v>
      </c>
      <c r="C194" s="126">
        <v>0</v>
      </c>
      <c r="D194" s="126">
        <v>0</v>
      </c>
      <c r="E194" s="368">
        <v>5351.02</v>
      </c>
      <c r="F194" s="297"/>
      <c r="G194" s="126">
        <v>0</v>
      </c>
      <c r="H194" s="126">
        <v>0</v>
      </c>
      <c r="I194" s="126">
        <f t="shared" si="65"/>
        <v>196.5119353654058</v>
      </c>
      <c r="J194" s="351">
        <v>2723</v>
      </c>
    </row>
    <row r="195" spans="1:10" ht="12.75" customHeight="1" thickBot="1" x14ac:dyDescent="0.25">
      <c r="A195" s="367"/>
      <c r="B195" s="366"/>
      <c r="C195" s="358"/>
      <c r="D195" s="358"/>
      <c r="E195" s="365"/>
      <c r="F195" s="302"/>
      <c r="G195" s="151"/>
      <c r="H195" s="151"/>
      <c r="I195" s="151"/>
      <c r="J195" s="351"/>
    </row>
    <row r="196" spans="1:10" s="567" customFormat="1" ht="18.75" customHeight="1" thickBot="1" x14ac:dyDescent="0.3">
      <c r="A196" s="569"/>
      <c r="B196" s="570" t="s">
        <v>627</v>
      </c>
      <c r="C196" s="315">
        <f>SUM(C197,C198,C206:C209)</f>
        <v>109511899.31</v>
      </c>
      <c r="D196" s="315">
        <f>SUM(D197,D198,D206:D209)</f>
        <v>57917530</v>
      </c>
      <c r="E196" s="561">
        <v>69794071.890000001</v>
      </c>
      <c r="F196" s="317">
        <f>SUM(E197:E198,E206:E209)</f>
        <v>69794071.890000001</v>
      </c>
      <c r="G196" s="550">
        <f>E196/C196*100</f>
        <v>63.731952719065667</v>
      </c>
      <c r="H196" s="550">
        <f t="shared" si="66"/>
        <v>120.50595370693466</v>
      </c>
      <c r="I196" s="550">
        <f t="shared" ref="I196:I197" si="68">E196/J196*100</f>
        <v>422.51183073072588</v>
      </c>
      <c r="J196" s="573">
        <v>16518844.4</v>
      </c>
    </row>
    <row r="197" spans="1:10" s="3" customFormat="1" ht="38.25" x14ac:dyDescent="0.2">
      <c r="A197" s="248">
        <v>3111</v>
      </c>
      <c r="B197" s="363" t="s">
        <v>626</v>
      </c>
      <c r="C197" s="362">
        <f>(5.95+3.9+44.064+14.478+0.8+1.8+0.4+2.5)*1000000</f>
        <v>73892000</v>
      </c>
      <c r="D197" s="362">
        <f>((5.95+3.9+44.064+14.478+0.8+1.8+0.4+2.5)*1000000)-30000000</f>
        <v>43892000</v>
      </c>
      <c r="E197" s="187">
        <f>844355+58216417.89</f>
        <v>59060772.890000001</v>
      </c>
      <c r="F197" s="126">
        <f>E196-F196</f>
        <v>0</v>
      </c>
      <c r="G197" s="120">
        <f t="shared" ref="G197:G209" si="69">E197/C197*100</f>
        <v>79.928507673361125</v>
      </c>
      <c r="H197" s="120">
        <f t="shared" si="66"/>
        <v>134.55931124122847</v>
      </c>
      <c r="I197" s="120">
        <f t="shared" si="68"/>
        <v>5129.854842468354</v>
      </c>
      <c r="J197" s="109">
        <v>1151314.7</v>
      </c>
    </row>
    <row r="198" spans="1:10" s="3" customFormat="1" ht="12.75" customHeight="1" x14ac:dyDescent="0.2">
      <c r="A198" s="180">
        <v>3112</v>
      </c>
      <c r="B198" s="180" t="s">
        <v>625</v>
      </c>
      <c r="C198" s="122">
        <f>SUM(C199:C205)</f>
        <v>19516800</v>
      </c>
      <c r="D198" s="122">
        <f>SUM(D199:D205)</f>
        <v>13519110</v>
      </c>
      <c r="E198" s="121">
        <v>10226879</v>
      </c>
      <c r="F198" s="130">
        <f>SUM(E199:E205)</f>
        <v>10226879</v>
      </c>
      <c r="G198" s="120">
        <f t="shared" si="69"/>
        <v>52.400388383341536</v>
      </c>
      <c r="H198" s="120">
        <f t="shared" si="66"/>
        <v>75.647575912911421</v>
      </c>
      <c r="I198" s="120">
        <v>0</v>
      </c>
      <c r="J198" s="6">
        <v>2418950</v>
      </c>
    </row>
    <row r="199" spans="1:10" s="3" customFormat="1" ht="12.75" customHeight="1" x14ac:dyDescent="0.2">
      <c r="A199" s="180"/>
      <c r="B199" s="360" t="s">
        <v>624</v>
      </c>
      <c r="C199" s="9">
        <v>1427000</v>
      </c>
      <c r="D199" s="9">
        <v>1427000</v>
      </c>
      <c r="E199" s="294">
        <v>2951142</v>
      </c>
      <c r="F199" s="294"/>
      <c r="G199" s="126">
        <f t="shared" si="69"/>
        <v>206.80742817098809</v>
      </c>
      <c r="H199" s="126">
        <f t="shared" si="66"/>
        <v>206.80742817098809</v>
      </c>
      <c r="I199" s="126">
        <v>0</v>
      </c>
      <c r="J199" s="296">
        <v>0</v>
      </c>
    </row>
    <row r="200" spans="1:10" s="3" customFormat="1" ht="12.75" customHeight="1" x14ac:dyDescent="0.2">
      <c r="A200" s="180"/>
      <c r="B200" s="360" t="s">
        <v>622</v>
      </c>
      <c r="C200" s="130">
        <f>4209000-150200</f>
        <v>4058800</v>
      </c>
      <c r="D200" s="130">
        <f>4209000-150200</f>
        <v>4058800</v>
      </c>
      <c r="E200" s="126">
        <v>4079714</v>
      </c>
      <c r="F200" s="126"/>
      <c r="G200" s="126">
        <f t="shared" si="69"/>
        <v>100.51527545087218</v>
      </c>
      <c r="H200" s="126">
        <f t="shared" si="66"/>
        <v>100.51527545087218</v>
      </c>
      <c r="I200" s="126">
        <v>0</v>
      </c>
      <c r="J200" s="14">
        <v>150200</v>
      </c>
    </row>
    <row r="201" spans="1:10" s="3" customFormat="1" ht="12.75" customHeight="1" x14ac:dyDescent="0.2">
      <c r="A201" s="180"/>
      <c r="B201" s="360" t="s">
        <v>621</v>
      </c>
      <c r="C201" s="130">
        <v>2581000</v>
      </c>
      <c r="D201" s="130">
        <v>2581000</v>
      </c>
      <c r="E201" s="130">
        <v>0</v>
      </c>
      <c r="F201" s="130"/>
      <c r="G201" s="126">
        <f t="shared" si="69"/>
        <v>0</v>
      </c>
      <c r="H201" s="126">
        <f t="shared" si="66"/>
        <v>0</v>
      </c>
      <c r="I201" s="126">
        <v>0</v>
      </c>
      <c r="J201" s="14">
        <v>0</v>
      </c>
    </row>
    <row r="202" spans="1:10" s="3" customFormat="1" ht="12.75" customHeight="1" x14ac:dyDescent="0.2">
      <c r="A202" s="180"/>
      <c r="B202" s="360" t="s">
        <v>618</v>
      </c>
      <c r="C202" s="126">
        <v>5450000</v>
      </c>
      <c r="D202" s="126">
        <f>5450000-3000000</f>
        <v>2450000</v>
      </c>
      <c r="E202" s="130">
        <v>0</v>
      </c>
      <c r="F202" s="130"/>
      <c r="G202" s="126">
        <f>E202/C202*100</f>
        <v>0</v>
      </c>
      <c r="H202" s="126">
        <f>E202/D202*100</f>
        <v>0</v>
      </c>
      <c r="I202" s="126">
        <v>0</v>
      </c>
      <c r="J202" s="14">
        <v>0</v>
      </c>
    </row>
    <row r="203" spans="1:10" s="3" customFormat="1" ht="12.75" customHeight="1" x14ac:dyDescent="0.2">
      <c r="A203" s="180"/>
      <c r="B203" s="360" t="s">
        <v>620</v>
      </c>
      <c r="C203" s="126">
        <v>3000000</v>
      </c>
      <c r="D203" s="126">
        <f>3000000</f>
        <v>3000000</v>
      </c>
      <c r="E203" s="130">
        <v>3183333</v>
      </c>
      <c r="F203" s="130"/>
      <c r="G203" s="126">
        <f t="shared" si="69"/>
        <v>106.11109999999999</v>
      </c>
      <c r="H203" s="126">
        <f t="shared" si="66"/>
        <v>106.11109999999999</v>
      </c>
      <c r="I203" s="126">
        <v>0</v>
      </c>
      <c r="J203" s="14">
        <v>0</v>
      </c>
    </row>
    <row r="204" spans="1:10" s="3" customFormat="1" ht="12.75" customHeight="1" x14ac:dyDescent="0.2">
      <c r="A204" s="180"/>
      <c r="B204" s="237" t="s">
        <v>619</v>
      </c>
      <c r="C204" s="130">
        <v>3000000</v>
      </c>
      <c r="D204" s="130">
        <f>3000000-3000000</f>
        <v>0</v>
      </c>
      <c r="E204" s="130">
        <v>0</v>
      </c>
      <c r="F204" s="130"/>
      <c r="G204" s="130">
        <f t="shared" si="69"/>
        <v>0</v>
      </c>
      <c r="H204" s="130">
        <v>0</v>
      </c>
      <c r="I204" s="130">
        <v>0</v>
      </c>
      <c r="J204" s="14">
        <v>0</v>
      </c>
    </row>
    <row r="205" spans="1:10" s="3" customFormat="1" ht="12.75" customHeight="1" x14ac:dyDescent="0.2">
      <c r="A205" s="180"/>
      <c r="B205" s="237" t="s">
        <v>946</v>
      </c>
      <c r="C205" s="130">
        <v>0</v>
      </c>
      <c r="D205" s="10">
        <v>2310</v>
      </c>
      <c r="E205" s="130">
        <v>12690</v>
      </c>
      <c r="F205" s="130"/>
      <c r="G205" s="130">
        <v>0</v>
      </c>
      <c r="H205" s="130">
        <v>0</v>
      </c>
      <c r="I205" s="130">
        <v>0</v>
      </c>
      <c r="J205" s="14">
        <v>0</v>
      </c>
    </row>
    <row r="206" spans="1:10" s="3" customFormat="1" ht="12.75" customHeight="1" x14ac:dyDescent="0.2">
      <c r="A206" s="180">
        <v>3113</v>
      </c>
      <c r="B206" s="180" t="s">
        <v>1021</v>
      </c>
      <c r="C206" s="120">
        <v>0</v>
      </c>
      <c r="D206" s="120">
        <f>52350+10000</f>
        <v>62350</v>
      </c>
      <c r="E206" s="121">
        <v>62350</v>
      </c>
      <c r="F206" s="130"/>
      <c r="G206" s="120">
        <v>0</v>
      </c>
      <c r="H206" s="120">
        <f t="shared" ref="H206" si="70">E206/D206*100</f>
        <v>100</v>
      </c>
      <c r="I206" s="120">
        <f t="shared" ref="I206" si="71">E206/J206*100</f>
        <v>96.716149347728305</v>
      </c>
      <c r="J206" s="14">
        <v>64467</v>
      </c>
    </row>
    <row r="207" spans="1:10" s="3" customFormat="1" ht="12.75" customHeight="1" x14ac:dyDescent="0.2">
      <c r="A207" s="180">
        <v>3119</v>
      </c>
      <c r="B207" s="745" t="s">
        <v>1059</v>
      </c>
      <c r="C207" s="120">
        <v>0</v>
      </c>
      <c r="D207" s="120">
        <v>444070</v>
      </c>
      <c r="E207" s="121">
        <v>444070</v>
      </c>
      <c r="F207" s="130"/>
      <c r="G207" s="120">
        <v>0</v>
      </c>
      <c r="H207" s="120">
        <f t="shared" ref="H207" si="72">E207/D207*100</f>
        <v>100</v>
      </c>
      <c r="I207" s="120">
        <f t="shared" ref="I207" si="73">E207/J207*100</f>
        <v>3.4774471417384496</v>
      </c>
      <c r="J207" s="14">
        <v>12770000</v>
      </c>
    </row>
    <row r="208" spans="1:10" s="3" customFormat="1" ht="12.75" customHeight="1" x14ac:dyDescent="0.2">
      <c r="A208" s="180">
        <v>3121</v>
      </c>
      <c r="B208" s="180" t="s">
        <v>614</v>
      </c>
      <c r="C208" s="120">
        <v>400000</v>
      </c>
      <c r="D208" s="120">
        <f>400000-400000</f>
        <v>0</v>
      </c>
      <c r="E208" s="121">
        <v>0</v>
      </c>
      <c r="F208" s="130"/>
      <c r="G208" s="120">
        <f t="shared" si="69"/>
        <v>0</v>
      </c>
      <c r="H208" s="120">
        <v>0</v>
      </c>
      <c r="I208" s="120">
        <f t="shared" ref="I208" si="74">E208/J208*100</f>
        <v>0</v>
      </c>
      <c r="J208" s="14">
        <v>81112.7</v>
      </c>
    </row>
    <row r="209" spans="1:14" s="3" customFormat="1" ht="12.75" customHeight="1" x14ac:dyDescent="0.2">
      <c r="A209" s="180">
        <v>3129</v>
      </c>
      <c r="B209" s="180" t="s">
        <v>612</v>
      </c>
      <c r="C209" s="122">
        <f>SUM(C210:C212)</f>
        <v>15703099.310000001</v>
      </c>
      <c r="D209" s="122">
        <f>SUM(D210:D212)</f>
        <v>0</v>
      </c>
      <c r="E209" s="121">
        <v>0</v>
      </c>
      <c r="F209" s="130">
        <f>SUM(E210:E212)</f>
        <v>0</v>
      </c>
      <c r="G209" s="120">
        <f t="shared" si="69"/>
        <v>0</v>
      </c>
      <c r="H209" s="120">
        <v>0</v>
      </c>
      <c r="I209" s="120">
        <v>0</v>
      </c>
      <c r="J209" s="14">
        <v>0</v>
      </c>
    </row>
    <row r="210" spans="1:14" s="3" customFormat="1" ht="12.75" customHeight="1" x14ac:dyDescent="0.2">
      <c r="A210" s="346"/>
      <c r="B210" s="360" t="s">
        <v>610</v>
      </c>
      <c r="C210" s="126">
        <v>1053570</v>
      </c>
      <c r="D210" s="126">
        <f>1053570-1053570</f>
        <v>0</v>
      </c>
      <c r="E210" s="130">
        <v>0</v>
      </c>
      <c r="F210" s="130"/>
      <c r="G210" s="126">
        <v>0</v>
      </c>
      <c r="H210" s="126">
        <v>0</v>
      </c>
      <c r="I210" s="126">
        <v>0</v>
      </c>
      <c r="J210" s="14">
        <v>0</v>
      </c>
    </row>
    <row r="211" spans="1:14" s="3" customFormat="1" ht="12.75" customHeight="1" x14ac:dyDescent="0.2">
      <c r="A211" s="346"/>
      <c r="B211" s="360" t="s">
        <v>889</v>
      </c>
      <c r="C211" s="126">
        <v>0</v>
      </c>
      <c r="D211" s="126">
        <f>1000000-1000000</f>
        <v>0</v>
      </c>
      <c r="E211" s="130">
        <v>0</v>
      </c>
      <c r="F211" s="130"/>
      <c r="G211" s="126">
        <v>0</v>
      </c>
      <c r="H211" s="126">
        <v>0</v>
      </c>
      <c r="I211" s="126">
        <v>0</v>
      </c>
      <c r="J211" s="14">
        <v>0</v>
      </c>
    </row>
    <row r="212" spans="1:14" s="3" customFormat="1" ht="12" customHeight="1" x14ac:dyDescent="0.2">
      <c r="A212" s="346"/>
      <c r="B212" s="360" t="s">
        <v>609</v>
      </c>
      <c r="C212" s="126">
        <v>14649529.310000001</v>
      </c>
      <c r="D212" s="126">
        <f>14649529.31-14649529.31</f>
        <v>0</v>
      </c>
      <c r="E212" s="130">
        <v>0</v>
      </c>
      <c r="F212" s="130"/>
      <c r="G212" s="126">
        <v>0</v>
      </c>
      <c r="H212" s="126">
        <v>0</v>
      </c>
      <c r="I212" s="126">
        <v>0</v>
      </c>
      <c r="J212" s="6">
        <v>0</v>
      </c>
    </row>
    <row r="213" spans="1:14" s="3" customFormat="1" ht="13.5" thickBot="1" x14ac:dyDescent="0.25">
      <c r="A213" s="346"/>
      <c r="B213" s="359"/>
      <c r="C213" s="358"/>
      <c r="D213" s="358"/>
      <c r="E213" s="117"/>
      <c r="F213" s="117"/>
      <c r="G213" s="151"/>
      <c r="H213" s="151"/>
      <c r="I213" s="151"/>
      <c r="J213" s="6"/>
    </row>
    <row r="214" spans="1:14" s="572" customFormat="1" ht="18.75" customHeight="1" thickBot="1" x14ac:dyDescent="0.35">
      <c r="A214" s="139"/>
      <c r="B214" s="139" t="s">
        <v>608</v>
      </c>
      <c r="C214" s="457">
        <f>SUM(C215,C219:C224,C252,C263,C269:C271,C278,C294)</f>
        <v>81229895.713500008</v>
      </c>
      <c r="D214" s="457">
        <f>SUM(D215,D219:D220,D224,D252,D263,D269,D270:D271,D278,D294)</f>
        <v>104950880.22350001</v>
      </c>
      <c r="E214" s="181">
        <v>104935993.12</v>
      </c>
      <c r="F214" s="511">
        <f>SUM(E215,E219:E220,E224,E252,E263,E269:E271,E278,E294)</f>
        <v>104935993.12</v>
      </c>
      <c r="G214" s="571">
        <f>E214/C214*100</f>
        <v>129.1839564710412</v>
      </c>
      <c r="H214" s="571">
        <f t="shared" ref="H214:H277" si="75">E214/D214*100</f>
        <v>99.985815170422285</v>
      </c>
      <c r="I214" s="571">
        <f>E214/J214*100</f>
        <v>74.763010552899942</v>
      </c>
      <c r="J214" s="568">
        <v>140358169.56</v>
      </c>
      <c r="L214" s="758"/>
      <c r="M214" s="758"/>
    </row>
    <row r="215" spans="1:14" s="3" customFormat="1" ht="12.75" customHeight="1" x14ac:dyDescent="0.2">
      <c r="A215" s="356">
        <v>4111</v>
      </c>
      <c r="B215" s="356" t="s">
        <v>607</v>
      </c>
      <c r="C215" s="357">
        <f>SUM(C216:C218)</f>
        <v>0</v>
      </c>
      <c r="D215" s="357">
        <f>SUM(D216:D218)</f>
        <v>5965964.5599999996</v>
      </c>
      <c r="E215" s="362">
        <v>5965964.5599999996</v>
      </c>
      <c r="F215" s="513">
        <f>SUM(E216:E218)</f>
        <v>5965964.5599999996</v>
      </c>
      <c r="G215" s="120">
        <v>0</v>
      </c>
      <c r="H215" s="120">
        <f t="shared" si="75"/>
        <v>100</v>
      </c>
      <c r="I215" s="120">
        <f t="shared" ref="I215:I216" si="76">E215/J215*100</f>
        <v>19.999800738314157</v>
      </c>
      <c r="J215" s="14">
        <v>29830120</v>
      </c>
      <c r="L215" s="760"/>
      <c r="M215" s="760"/>
    </row>
    <row r="216" spans="1:14" s="3" customFormat="1" ht="12.75" customHeight="1" x14ac:dyDescent="0.2">
      <c r="A216" s="356"/>
      <c r="B216" s="689" t="s">
        <v>929</v>
      </c>
      <c r="C216" s="354">
        <v>0</v>
      </c>
      <c r="D216" s="354">
        <v>3000</v>
      </c>
      <c r="E216" s="126">
        <v>3000</v>
      </c>
      <c r="F216" s="126"/>
      <c r="G216" s="126">
        <v>0</v>
      </c>
      <c r="H216" s="126">
        <f t="shared" si="75"/>
        <v>100</v>
      </c>
      <c r="I216" s="126">
        <f t="shared" si="76"/>
        <v>5.5432372505543244</v>
      </c>
      <c r="J216" s="6">
        <v>54120</v>
      </c>
      <c r="L216" s="760"/>
      <c r="M216" s="760"/>
      <c r="N216" s="2"/>
    </row>
    <row r="217" spans="1:14" s="3" customFormat="1" ht="12.75" customHeight="1" x14ac:dyDescent="0.2">
      <c r="A217" s="356"/>
      <c r="B217" s="689" t="s">
        <v>930</v>
      </c>
      <c r="C217" s="354">
        <v>0</v>
      </c>
      <c r="D217" s="354">
        <f>1026933.11+4013693.68+219366.52+971.25</f>
        <v>5260964.5599999996</v>
      </c>
      <c r="E217" s="126">
        <v>5260964.5599999996</v>
      </c>
      <c r="F217" s="126"/>
      <c r="G217" s="126">
        <v>0</v>
      </c>
      <c r="H217" s="126">
        <f t="shared" ref="H217" si="77">E217/D217*100</f>
        <v>100</v>
      </c>
      <c r="I217" s="126">
        <v>0</v>
      </c>
      <c r="J217" s="6">
        <v>0</v>
      </c>
      <c r="L217" s="759"/>
      <c r="M217" s="759"/>
      <c r="N217" s="2"/>
    </row>
    <row r="218" spans="1:14" s="3" customFormat="1" ht="12.75" customHeight="1" x14ac:dyDescent="0.2">
      <c r="A218" s="356"/>
      <c r="B218" s="689" t="s">
        <v>1016</v>
      </c>
      <c r="C218" s="354">
        <v>0</v>
      </c>
      <c r="D218" s="354">
        <v>702000</v>
      </c>
      <c r="E218" s="126">
        <v>702000</v>
      </c>
      <c r="F218" s="126"/>
      <c r="G218" s="126">
        <v>0</v>
      </c>
      <c r="H218" s="126">
        <f t="shared" si="75"/>
        <v>100</v>
      </c>
      <c r="I218" s="126">
        <v>0</v>
      </c>
      <c r="J218" s="6">
        <v>0</v>
      </c>
      <c r="L218" s="759"/>
      <c r="M218" s="759"/>
      <c r="N218" s="751"/>
    </row>
    <row r="219" spans="1:14" ht="77.25" customHeight="1" x14ac:dyDescent="0.2">
      <c r="A219" s="137">
        <v>4112</v>
      </c>
      <c r="B219" s="175" t="s">
        <v>1091</v>
      </c>
      <c r="C219" s="24">
        <f>(958935.0949+709659.9826+520950+433320+542800+39919+4236063.649+7723640.937+23616817.65+627210+1363000+1530786+236555+42.69)+918800</f>
        <v>43458500.0035</v>
      </c>
      <c r="D219" s="24">
        <f>(958935.0949+709659.9826+520950+433320+542800+39919+4236063.649+7723640.937+23616817.65+627210+1363000+1530786+236555+42.69)+918800</f>
        <v>43458500.0035</v>
      </c>
      <c r="E219" s="120">
        <v>43458500</v>
      </c>
      <c r="F219" s="126"/>
      <c r="G219" s="120">
        <f t="shared" ref="G219:G296" si="78">E219/C219*100</f>
        <v>99.999999991946339</v>
      </c>
      <c r="H219" s="120">
        <f t="shared" si="75"/>
        <v>99.999999991946339</v>
      </c>
      <c r="I219" s="120">
        <f t="shared" ref="I219:I224" si="79">E219/J219*100</f>
        <v>102.15986478513013</v>
      </c>
      <c r="J219" s="6">
        <v>42539700</v>
      </c>
    </row>
    <row r="220" spans="1:14" s="3" customFormat="1" ht="12.75" customHeight="1" x14ac:dyDescent="0.2">
      <c r="A220" s="123">
        <v>4113</v>
      </c>
      <c r="B220" s="123" t="s">
        <v>939</v>
      </c>
      <c r="C220" s="122">
        <f>SUM(C221:C223)</f>
        <v>0</v>
      </c>
      <c r="D220" s="122">
        <f>SUM(D221:D223)</f>
        <v>148851</v>
      </c>
      <c r="E220" s="120">
        <v>148851</v>
      </c>
      <c r="F220" s="126"/>
      <c r="G220" s="120">
        <v>0</v>
      </c>
      <c r="H220" s="120">
        <f t="shared" si="75"/>
        <v>100</v>
      </c>
      <c r="I220" s="120">
        <v>0</v>
      </c>
      <c r="J220" s="6">
        <v>0</v>
      </c>
    </row>
    <row r="221" spans="1:14" s="2" customFormat="1" ht="12.75" customHeight="1" x14ac:dyDescent="0.2">
      <c r="A221" s="131"/>
      <c r="B221" s="131" t="s">
        <v>1035</v>
      </c>
      <c r="C221" s="127">
        <v>0</v>
      </c>
      <c r="D221" s="127">
        <v>48565</v>
      </c>
      <c r="E221" s="126">
        <v>48565</v>
      </c>
      <c r="F221" s="126"/>
      <c r="G221" s="126">
        <v>0</v>
      </c>
      <c r="H221" s="126">
        <f t="shared" si="75"/>
        <v>100</v>
      </c>
      <c r="I221" s="126">
        <v>0</v>
      </c>
      <c r="J221" s="6">
        <v>0</v>
      </c>
    </row>
    <row r="222" spans="1:14" s="2" customFormat="1" ht="12.75" customHeight="1" x14ac:dyDescent="0.2">
      <c r="A222" s="131"/>
      <c r="B222" s="131" t="s">
        <v>1036</v>
      </c>
      <c r="C222" s="127">
        <v>0</v>
      </c>
      <c r="D222" s="127">
        <v>86338</v>
      </c>
      <c r="E222" s="126">
        <v>86338</v>
      </c>
      <c r="F222" s="126"/>
      <c r="G222" s="126">
        <v>0</v>
      </c>
      <c r="H222" s="126">
        <f t="shared" si="75"/>
        <v>100</v>
      </c>
      <c r="I222" s="126">
        <v>0</v>
      </c>
      <c r="J222" s="6">
        <v>0</v>
      </c>
    </row>
    <row r="223" spans="1:14" s="2" customFormat="1" ht="12.75" customHeight="1" x14ac:dyDescent="0.2">
      <c r="A223" s="131"/>
      <c r="B223" s="307" t="s">
        <v>1049</v>
      </c>
      <c r="C223" s="127">
        <v>0</v>
      </c>
      <c r="D223" s="127">
        <v>13948</v>
      </c>
      <c r="E223" s="126">
        <v>13948</v>
      </c>
      <c r="F223" s="126"/>
      <c r="G223" s="126">
        <v>0</v>
      </c>
      <c r="H223" s="126">
        <f t="shared" si="75"/>
        <v>100</v>
      </c>
      <c r="I223" s="126">
        <v>0</v>
      </c>
      <c r="J223" s="6">
        <v>0</v>
      </c>
    </row>
    <row r="224" spans="1:14" s="3" customFormat="1" ht="12.75" customHeight="1" x14ac:dyDescent="0.2">
      <c r="A224" s="123">
        <v>4116</v>
      </c>
      <c r="B224" s="123" t="s">
        <v>604</v>
      </c>
      <c r="C224" s="122">
        <f>SUM(C225:C251)</f>
        <v>8333206</v>
      </c>
      <c r="D224" s="122">
        <f>SUM(D225:D251)</f>
        <v>21120692</v>
      </c>
      <c r="E224" s="120">
        <v>21120692</v>
      </c>
      <c r="F224" s="126">
        <f>SUM(E225:E251)</f>
        <v>21120692</v>
      </c>
      <c r="G224" s="120">
        <f t="shared" si="78"/>
        <v>253.45217674926076</v>
      </c>
      <c r="H224" s="120">
        <f t="shared" si="75"/>
        <v>100</v>
      </c>
      <c r="I224" s="120">
        <f t="shared" si="79"/>
        <v>126.51997234795324</v>
      </c>
      <c r="J224" s="6">
        <v>16693563.560000001</v>
      </c>
    </row>
    <row r="225" spans="1:11" ht="12.75" customHeight="1" x14ac:dyDescent="0.2">
      <c r="A225" s="155"/>
      <c r="B225" s="15" t="s">
        <v>603</v>
      </c>
      <c r="C225" s="9">
        <v>50000</v>
      </c>
      <c r="D225" s="9">
        <f>50000-50000</f>
        <v>0</v>
      </c>
      <c r="E225" s="126">
        <v>0</v>
      </c>
      <c r="F225" s="126"/>
      <c r="G225" s="126">
        <f t="shared" si="78"/>
        <v>0</v>
      </c>
      <c r="H225" s="126">
        <v>0</v>
      </c>
      <c r="I225" s="126">
        <v>0</v>
      </c>
      <c r="J225" s="6">
        <v>50000</v>
      </c>
    </row>
    <row r="226" spans="1:11" ht="12.75" customHeight="1" x14ac:dyDescent="0.2">
      <c r="A226" s="155"/>
      <c r="B226" s="155" t="s">
        <v>602</v>
      </c>
      <c r="C226" s="126">
        <v>0</v>
      </c>
      <c r="D226" s="126">
        <v>0</v>
      </c>
      <c r="E226" s="130">
        <v>0</v>
      </c>
      <c r="F226" s="130"/>
      <c r="G226" s="126">
        <v>0</v>
      </c>
      <c r="H226" s="126">
        <v>0</v>
      </c>
      <c r="I226" s="126">
        <f>E226/J226*100</f>
        <v>0</v>
      </c>
      <c r="J226" s="14">
        <v>264000</v>
      </c>
    </row>
    <row r="227" spans="1:11" ht="12.75" customHeight="1" x14ac:dyDescent="0.2">
      <c r="A227" s="123"/>
      <c r="B227" s="131" t="s">
        <v>601</v>
      </c>
      <c r="C227" s="126">
        <v>7145900</v>
      </c>
      <c r="D227" s="126">
        <f>7145900+(4422050-3572950)+397841.81</f>
        <v>8392841.8100000005</v>
      </c>
      <c r="E227" s="10">
        <v>8392841.8100000005</v>
      </c>
      <c r="F227" s="130"/>
      <c r="G227" s="126">
        <f t="shared" si="78"/>
        <v>117.44975174575632</v>
      </c>
      <c r="H227" s="126">
        <f t="shared" si="75"/>
        <v>100</v>
      </c>
      <c r="I227" s="126">
        <f t="shared" ref="I227:I230" si="80">E227/J227*100</f>
        <v>114.66868228853542</v>
      </c>
      <c r="J227" s="14">
        <v>7319210.1299999999</v>
      </c>
    </row>
    <row r="228" spans="1:11" ht="12.75" customHeight="1" x14ac:dyDescent="0.2">
      <c r="A228" s="185"/>
      <c r="B228" s="185" t="s">
        <v>600</v>
      </c>
      <c r="C228" s="126">
        <v>1137306</v>
      </c>
      <c r="D228" s="126">
        <f>1137306+(-1137306+1211186)</f>
        <v>1211186</v>
      </c>
      <c r="E228" s="10">
        <v>1211186</v>
      </c>
      <c r="F228" s="130"/>
      <c r="G228" s="126">
        <f t="shared" si="78"/>
        <v>106.49605295320697</v>
      </c>
      <c r="H228" s="126">
        <f t="shared" si="75"/>
        <v>100</v>
      </c>
      <c r="I228" s="126">
        <f t="shared" si="80"/>
        <v>98.119092290692507</v>
      </c>
      <c r="J228" s="14">
        <v>1234404</v>
      </c>
    </row>
    <row r="229" spans="1:11" ht="12.75" customHeight="1" x14ac:dyDescent="0.2">
      <c r="A229" s="185"/>
      <c r="B229" s="185" t="s">
        <v>919</v>
      </c>
      <c r="C229" s="126">
        <v>0</v>
      </c>
      <c r="D229" s="126">
        <v>91988</v>
      </c>
      <c r="E229" s="10">
        <v>91988</v>
      </c>
      <c r="F229" s="130"/>
      <c r="G229" s="126">
        <v>0</v>
      </c>
      <c r="H229" s="126">
        <f t="shared" si="75"/>
        <v>100</v>
      </c>
      <c r="I229" s="126">
        <v>0</v>
      </c>
      <c r="J229" s="14">
        <v>0</v>
      </c>
    </row>
    <row r="230" spans="1:11" ht="12.75" customHeight="1" x14ac:dyDescent="0.2">
      <c r="A230" s="342"/>
      <c r="B230" s="185" t="s">
        <v>909</v>
      </c>
      <c r="C230" s="126">
        <v>0</v>
      </c>
      <c r="D230" s="126">
        <v>1395266</v>
      </c>
      <c r="E230" s="130">
        <v>1395266</v>
      </c>
      <c r="F230" s="130"/>
      <c r="G230" s="126">
        <v>0</v>
      </c>
      <c r="H230" s="126">
        <f t="shared" ref="H230:H231" si="81">E230/D230*100</f>
        <v>100</v>
      </c>
      <c r="I230" s="126">
        <f t="shared" si="80"/>
        <v>166.81862799603536</v>
      </c>
      <c r="J230" s="14">
        <v>836397</v>
      </c>
    </row>
    <row r="231" spans="1:11" ht="12.75" customHeight="1" x14ac:dyDescent="0.2">
      <c r="A231" s="342"/>
      <c r="B231" s="185" t="s">
        <v>1045</v>
      </c>
      <c r="C231" s="126">
        <v>0</v>
      </c>
      <c r="D231" s="126">
        <v>3600</v>
      </c>
      <c r="E231" s="130">
        <v>3600</v>
      </c>
      <c r="F231" s="130"/>
      <c r="G231" s="126">
        <v>0</v>
      </c>
      <c r="H231" s="126">
        <f t="shared" si="81"/>
        <v>100</v>
      </c>
      <c r="I231" s="126">
        <v>0</v>
      </c>
      <c r="J231" s="14">
        <v>0</v>
      </c>
    </row>
    <row r="232" spans="1:11" ht="12.75" customHeight="1" x14ac:dyDescent="0.2">
      <c r="A232" s="342"/>
      <c r="B232" s="185" t="s">
        <v>1025</v>
      </c>
      <c r="C232" s="126">
        <v>0</v>
      </c>
      <c r="D232" s="126">
        <v>140000</v>
      </c>
      <c r="E232" s="130">
        <v>140000</v>
      </c>
      <c r="F232" s="130"/>
      <c r="G232" s="126">
        <v>0</v>
      </c>
      <c r="H232" s="126">
        <f t="shared" si="75"/>
        <v>100</v>
      </c>
      <c r="I232" s="126">
        <v>0</v>
      </c>
      <c r="J232" s="14">
        <v>0</v>
      </c>
    </row>
    <row r="233" spans="1:11" s="3" customFormat="1" ht="12.75" customHeight="1" x14ac:dyDescent="0.2">
      <c r="A233" s="343"/>
      <c r="B233" s="185" t="s">
        <v>1087</v>
      </c>
      <c r="C233" s="126">
        <v>0</v>
      </c>
      <c r="D233" s="126">
        <f>(24381.5+35574)</f>
        <v>59955.5</v>
      </c>
      <c r="E233" s="302">
        <v>59955.5</v>
      </c>
      <c r="F233" s="117"/>
      <c r="G233" s="126">
        <v>0</v>
      </c>
      <c r="H233" s="126">
        <f>E233/D233*100</f>
        <v>100</v>
      </c>
      <c r="I233" s="126">
        <v>0</v>
      </c>
      <c r="J233" s="14">
        <v>0</v>
      </c>
      <c r="K233" s="341"/>
    </row>
    <row r="234" spans="1:11" s="3" customFormat="1" ht="12.75" customHeight="1" x14ac:dyDescent="0.2">
      <c r="A234" s="343"/>
      <c r="B234" s="185" t="s">
        <v>1017</v>
      </c>
      <c r="C234" s="126">
        <v>0</v>
      </c>
      <c r="D234" s="126">
        <v>157016.39000000001</v>
      </c>
      <c r="E234" s="130">
        <v>157016.39000000001</v>
      </c>
      <c r="F234" s="130"/>
      <c r="G234" s="126">
        <v>0</v>
      </c>
      <c r="H234" s="126">
        <f>E234/D234*100</f>
        <v>100</v>
      </c>
      <c r="I234" s="126">
        <v>0</v>
      </c>
      <c r="J234" s="14">
        <v>0</v>
      </c>
      <c r="K234" s="341"/>
    </row>
    <row r="235" spans="1:11" s="3" customFormat="1" ht="12.75" customHeight="1" x14ac:dyDescent="0.2">
      <c r="A235" s="343"/>
      <c r="B235" s="185" t="s">
        <v>1018</v>
      </c>
      <c r="C235" s="126">
        <v>0</v>
      </c>
      <c r="D235" s="126">
        <v>2669278.6800000002</v>
      </c>
      <c r="E235" s="130">
        <v>2669278.6800000002</v>
      </c>
      <c r="F235" s="130"/>
      <c r="G235" s="126">
        <v>0</v>
      </c>
      <c r="H235" s="126">
        <f t="shared" ref="H235" si="82">E235/D235*100</f>
        <v>100</v>
      </c>
      <c r="I235" s="126">
        <v>0</v>
      </c>
      <c r="J235" s="14">
        <v>0</v>
      </c>
      <c r="K235" s="341"/>
    </row>
    <row r="236" spans="1:11" s="3" customFormat="1" ht="12.75" customHeight="1" x14ac:dyDescent="0.2">
      <c r="A236" s="343"/>
      <c r="B236" s="185" t="s">
        <v>1041</v>
      </c>
      <c r="C236" s="126">
        <v>0</v>
      </c>
      <c r="D236" s="126">
        <v>63450.62</v>
      </c>
      <c r="E236" s="130">
        <v>63450.62</v>
      </c>
      <c r="F236" s="130"/>
      <c r="G236" s="126">
        <v>0</v>
      </c>
      <c r="H236" s="126">
        <f>E236/D236*100</f>
        <v>100</v>
      </c>
      <c r="I236" s="126">
        <f>E236/J236*100</f>
        <v>46.375147081599216</v>
      </c>
      <c r="J236" s="14">
        <v>136820.31</v>
      </c>
      <c r="K236" s="341"/>
    </row>
    <row r="237" spans="1:11" s="3" customFormat="1" ht="12.75" customHeight="1" x14ac:dyDescent="0.2">
      <c r="A237" s="343"/>
      <c r="B237" s="185" t="s">
        <v>1042</v>
      </c>
      <c r="C237" s="126">
        <v>0</v>
      </c>
      <c r="D237" s="126">
        <v>1078660.51</v>
      </c>
      <c r="E237" s="130">
        <v>1078660.51</v>
      </c>
      <c r="F237" s="130"/>
      <c r="G237" s="126">
        <v>0</v>
      </c>
      <c r="H237" s="126">
        <f t="shared" ref="H237" si="83">E237/D237*100</f>
        <v>100</v>
      </c>
      <c r="I237" s="126">
        <f t="shared" ref="I237" si="84">E237/J237*100</f>
        <v>46.375143797981806</v>
      </c>
      <c r="J237" s="14">
        <v>2325945.37</v>
      </c>
      <c r="K237" s="341"/>
    </row>
    <row r="238" spans="1:11" s="3" customFormat="1" ht="12.75" customHeight="1" x14ac:dyDescent="0.2">
      <c r="A238" s="343"/>
      <c r="B238" s="185" t="s">
        <v>870</v>
      </c>
      <c r="C238" s="126">
        <v>0</v>
      </c>
      <c r="D238" s="126">
        <v>68450.27</v>
      </c>
      <c r="E238" s="130">
        <v>68450.27</v>
      </c>
      <c r="F238" s="130"/>
      <c r="G238" s="126">
        <v>0</v>
      </c>
      <c r="H238" s="126">
        <f>E238/D238*100</f>
        <v>100</v>
      </c>
      <c r="I238" s="126">
        <v>0</v>
      </c>
      <c r="J238" s="14">
        <v>0</v>
      </c>
      <c r="K238" s="341"/>
    </row>
    <row r="239" spans="1:11" s="3" customFormat="1" ht="12.75" customHeight="1" x14ac:dyDescent="0.2">
      <c r="A239" s="343"/>
      <c r="B239" s="185" t="s">
        <v>871</v>
      </c>
      <c r="C239" s="126">
        <v>0</v>
      </c>
      <c r="D239" s="126">
        <v>1163654.6299999999</v>
      </c>
      <c r="E239" s="130">
        <v>1163654.6299999999</v>
      </c>
      <c r="F239" s="130"/>
      <c r="G239" s="126">
        <v>0</v>
      </c>
      <c r="H239" s="126">
        <f t="shared" si="75"/>
        <v>100</v>
      </c>
      <c r="I239" s="126">
        <v>0</v>
      </c>
      <c r="J239" s="14">
        <v>0</v>
      </c>
      <c r="K239" s="341"/>
    </row>
    <row r="240" spans="1:11" s="3" customFormat="1" ht="12.75" customHeight="1" x14ac:dyDescent="0.2">
      <c r="A240" s="343"/>
      <c r="B240" s="185" t="s">
        <v>883</v>
      </c>
      <c r="C240" s="126">
        <v>0</v>
      </c>
      <c r="D240" s="126">
        <v>726</v>
      </c>
      <c r="E240" s="130">
        <v>726</v>
      </c>
      <c r="F240" s="130"/>
      <c r="G240" s="126">
        <v>0</v>
      </c>
      <c r="H240" s="126">
        <f>E240/D240*100</f>
        <v>100</v>
      </c>
      <c r="I240" s="126">
        <v>0</v>
      </c>
      <c r="J240" s="14">
        <v>0</v>
      </c>
      <c r="K240" s="341"/>
    </row>
    <row r="241" spans="1:16" s="3" customFormat="1" ht="12.75" customHeight="1" x14ac:dyDescent="0.2">
      <c r="A241" s="343"/>
      <c r="B241" s="185" t="s">
        <v>884</v>
      </c>
      <c r="C241" s="126">
        <v>0</v>
      </c>
      <c r="D241" s="126">
        <v>14520</v>
      </c>
      <c r="E241" s="130">
        <v>14520</v>
      </c>
      <c r="F241" s="130"/>
      <c r="G241" s="126">
        <v>0</v>
      </c>
      <c r="H241" s="126">
        <f t="shared" ref="H241:H245" si="85">E241/D241*100</f>
        <v>100</v>
      </c>
      <c r="I241" s="126">
        <v>0</v>
      </c>
      <c r="J241" s="14">
        <v>0</v>
      </c>
      <c r="K241" s="341"/>
    </row>
    <row r="242" spans="1:16" s="3" customFormat="1" ht="12.75" customHeight="1" x14ac:dyDescent="0.2">
      <c r="A242" s="343"/>
      <c r="B242" s="185" t="s">
        <v>1031</v>
      </c>
      <c r="C242" s="126">
        <v>0</v>
      </c>
      <c r="D242" s="126">
        <v>961.95</v>
      </c>
      <c r="E242" s="130">
        <v>961.95</v>
      </c>
      <c r="F242" s="130"/>
      <c r="G242" s="126">
        <v>0</v>
      </c>
      <c r="H242" s="126">
        <f>E242/D242*100</f>
        <v>100</v>
      </c>
      <c r="I242" s="126">
        <v>0</v>
      </c>
      <c r="J242" s="14">
        <v>0</v>
      </c>
      <c r="K242" s="341"/>
    </row>
    <row r="243" spans="1:16" s="3" customFormat="1" ht="12.75" customHeight="1" x14ac:dyDescent="0.2">
      <c r="A243" s="343"/>
      <c r="B243" s="185" t="s">
        <v>1032</v>
      </c>
      <c r="C243" s="126">
        <v>0</v>
      </c>
      <c r="D243" s="126">
        <v>19239</v>
      </c>
      <c r="E243" s="130">
        <v>19239</v>
      </c>
      <c r="F243" s="130"/>
      <c r="G243" s="126">
        <v>0</v>
      </c>
      <c r="H243" s="126">
        <f>E243/D243*100</f>
        <v>100</v>
      </c>
      <c r="I243" s="126">
        <v>0</v>
      </c>
      <c r="J243" s="14">
        <v>0</v>
      </c>
      <c r="K243" s="341"/>
    </row>
    <row r="244" spans="1:16" s="3" customFormat="1" ht="12.75" customHeight="1" x14ac:dyDescent="0.2">
      <c r="A244" s="343"/>
      <c r="B244" s="185" t="s">
        <v>920</v>
      </c>
      <c r="C244" s="126">
        <v>0</v>
      </c>
      <c r="D244" s="126">
        <f>167860+44100</f>
        <v>211960</v>
      </c>
      <c r="E244" s="302">
        <v>211960</v>
      </c>
      <c r="F244" s="117"/>
      <c r="G244" s="126">
        <v>0</v>
      </c>
      <c r="H244" s="126">
        <f t="shared" ref="H244" si="86">E244/D244*100</f>
        <v>100</v>
      </c>
      <c r="I244" s="126">
        <v>0</v>
      </c>
      <c r="J244" s="14">
        <v>0</v>
      </c>
      <c r="K244" s="341"/>
    </row>
    <row r="245" spans="1:16" s="3" customFormat="1" ht="12.75" customHeight="1" x14ac:dyDescent="0.2">
      <c r="A245" s="343"/>
      <c r="B245" s="185" t="s">
        <v>1086</v>
      </c>
      <c r="C245" s="126">
        <v>0</v>
      </c>
      <c r="D245" s="126">
        <f>31689</f>
        <v>31689</v>
      </c>
      <c r="E245" s="302">
        <v>31689</v>
      </c>
      <c r="F245" s="117"/>
      <c r="G245" s="126">
        <v>0</v>
      </c>
      <c r="H245" s="126">
        <f t="shared" si="85"/>
        <v>100</v>
      </c>
      <c r="I245" s="126">
        <f t="shared" ref="I245" si="87">E245/J245*100</f>
        <v>7.7039957990139349</v>
      </c>
      <c r="J245" s="14">
        <v>411332</v>
      </c>
      <c r="K245" s="341"/>
    </row>
    <row r="246" spans="1:16" s="3" customFormat="1" ht="12.75" customHeight="1" x14ac:dyDescent="0.2">
      <c r="A246" s="156"/>
      <c r="B246" s="185" t="s">
        <v>994</v>
      </c>
      <c r="C246" s="297">
        <v>0</v>
      </c>
      <c r="D246" s="297">
        <f>(70381.36+398827.64)</f>
        <v>469209</v>
      </c>
      <c r="E246" s="302">
        <v>469209</v>
      </c>
      <c r="F246" s="117"/>
      <c r="G246" s="126">
        <v>0</v>
      </c>
      <c r="H246" s="126">
        <f t="shared" si="75"/>
        <v>100</v>
      </c>
      <c r="I246" s="126">
        <v>0</v>
      </c>
      <c r="J246" s="14">
        <v>0</v>
      </c>
      <c r="P246" s="341"/>
    </row>
    <row r="247" spans="1:16" s="3" customFormat="1" ht="12.75" customHeight="1" x14ac:dyDescent="0.2">
      <c r="A247" s="156"/>
      <c r="B247" s="185" t="s">
        <v>995</v>
      </c>
      <c r="C247" s="297">
        <v>0</v>
      </c>
      <c r="D247" s="297">
        <f>(205074.76+1162090.24)</f>
        <v>1367165</v>
      </c>
      <c r="E247" s="302">
        <v>1367165</v>
      </c>
      <c r="F247" s="117"/>
      <c r="G247" s="126">
        <v>0</v>
      </c>
      <c r="H247" s="126">
        <f t="shared" ref="H247" si="88">E247/D247*100</f>
        <v>100</v>
      </c>
      <c r="I247" s="126">
        <v>0</v>
      </c>
      <c r="J247" s="14">
        <v>0</v>
      </c>
      <c r="P247" s="341"/>
    </row>
    <row r="248" spans="1:16" s="3" customFormat="1" ht="12.75" customHeight="1" x14ac:dyDescent="0.2">
      <c r="A248" s="156"/>
      <c r="B248" s="185" t="s">
        <v>898</v>
      </c>
      <c r="C248" s="297">
        <v>0</v>
      </c>
      <c r="D248" s="297">
        <f>(169419.91+960046.09)</f>
        <v>1129466</v>
      </c>
      <c r="E248" s="302">
        <v>1129466</v>
      </c>
      <c r="F248" s="117"/>
      <c r="G248" s="126">
        <v>0</v>
      </c>
      <c r="H248" s="126">
        <f t="shared" si="75"/>
        <v>100</v>
      </c>
      <c r="I248" s="126">
        <v>0</v>
      </c>
      <c r="J248" s="14">
        <v>0</v>
      </c>
      <c r="P248" s="341"/>
    </row>
    <row r="249" spans="1:16" s="3" customFormat="1" ht="12.75" customHeight="1" x14ac:dyDescent="0.2">
      <c r="A249" s="343"/>
      <c r="B249" s="185" t="s">
        <v>921</v>
      </c>
      <c r="C249" s="126">
        <v>0</v>
      </c>
      <c r="D249" s="126">
        <f>62300-7892.36+15000</f>
        <v>69407.64</v>
      </c>
      <c r="E249" s="302">
        <v>69407.64</v>
      </c>
      <c r="F249" s="117"/>
      <c r="G249" s="126">
        <v>0</v>
      </c>
      <c r="H249" s="126">
        <f>E249/D249*100</f>
        <v>100</v>
      </c>
      <c r="I249" s="126">
        <v>0</v>
      </c>
      <c r="J249" s="14">
        <v>0</v>
      </c>
      <c r="K249" s="341"/>
    </row>
    <row r="250" spans="1:16" s="3" customFormat="1" ht="12.75" customHeight="1" x14ac:dyDescent="0.2">
      <c r="A250" s="343"/>
      <c r="B250" s="185" t="s">
        <v>1004</v>
      </c>
      <c r="C250" s="126">
        <v>0</v>
      </c>
      <c r="D250" s="126">
        <v>382000</v>
      </c>
      <c r="E250" s="302">
        <v>382000</v>
      </c>
      <c r="F250" s="117"/>
      <c r="G250" s="126">
        <v>0</v>
      </c>
      <c r="H250" s="126">
        <f>E250/D250*100</f>
        <v>100</v>
      </c>
      <c r="I250" s="126">
        <v>0</v>
      </c>
      <c r="J250" s="14">
        <v>0</v>
      </c>
      <c r="K250" s="341"/>
    </row>
    <row r="251" spans="1:16" s="3" customFormat="1" ht="12.75" customHeight="1" x14ac:dyDescent="0.2">
      <c r="A251" s="343"/>
      <c r="B251" s="185" t="s">
        <v>1027</v>
      </c>
      <c r="C251" s="126">
        <v>0</v>
      </c>
      <c r="D251" s="126">
        <v>929000</v>
      </c>
      <c r="E251" s="302">
        <v>929000</v>
      </c>
      <c r="F251" s="117"/>
      <c r="G251" s="126">
        <v>0</v>
      </c>
      <c r="H251" s="126">
        <f>E251/D251*100</f>
        <v>100</v>
      </c>
      <c r="I251" s="126">
        <f t="shared" ref="I251:I261" si="89">E251/J251*100</f>
        <v>156.92567567567568</v>
      </c>
      <c r="J251" s="14">
        <v>592000</v>
      </c>
      <c r="K251" s="341"/>
    </row>
    <row r="252" spans="1:16" ht="12.75" customHeight="1" x14ac:dyDescent="0.2">
      <c r="A252" s="123">
        <v>4121</v>
      </c>
      <c r="B252" s="123" t="s">
        <v>599</v>
      </c>
      <c r="C252" s="122">
        <f>SUM(C253:C262)</f>
        <v>1631120</v>
      </c>
      <c r="D252" s="122">
        <f>SUM(D253:D262)</f>
        <v>2416797.54</v>
      </c>
      <c r="E252" s="134">
        <v>2401910.44</v>
      </c>
      <c r="F252" s="117">
        <f>SUM(E253:E262)</f>
        <v>2401910.44</v>
      </c>
      <c r="G252" s="120">
        <f t="shared" si="78"/>
        <v>147.2552871646476</v>
      </c>
      <c r="H252" s="120">
        <f t="shared" ref="H252:H260" si="90">E252/D252*100</f>
        <v>99.384015427291445</v>
      </c>
      <c r="I252" s="120">
        <f t="shared" si="89"/>
        <v>360.9691586790621</v>
      </c>
      <c r="J252" s="14">
        <v>665406</v>
      </c>
    </row>
    <row r="253" spans="1:16" ht="12.75" customHeight="1" x14ac:dyDescent="0.2">
      <c r="A253" s="123"/>
      <c r="B253" s="155" t="s">
        <v>598</v>
      </c>
      <c r="C253" s="126">
        <v>260000</v>
      </c>
      <c r="D253" s="126">
        <f>260000+34000</f>
        <v>294000</v>
      </c>
      <c r="E253" s="297">
        <v>294000</v>
      </c>
      <c r="F253" s="117"/>
      <c r="G253" s="126">
        <f t="shared" si="78"/>
        <v>113.07692307692308</v>
      </c>
      <c r="H253" s="126">
        <f t="shared" si="90"/>
        <v>100</v>
      </c>
      <c r="I253" s="126">
        <f t="shared" si="89"/>
        <v>89.634146341463421</v>
      </c>
      <c r="J253" s="14">
        <v>328000</v>
      </c>
    </row>
    <row r="254" spans="1:16" x14ac:dyDescent="0.2">
      <c r="A254" s="123"/>
      <c r="B254" s="155" t="s">
        <v>597</v>
      </c>
      <c r="C254" s="126">
        <v>3000</v>
      </c>
      <c r="D254" s="126">
        <v>3000</v>
      </c>
      <c r="E254" s="297">
        <v>3666.9</v>
      </c>
      <c r="F254" s="117"/>
      <c r="G254" s="126">
        <f t="shared" si="78"/>
        <v>122.22999999999999</v>
      </c>
      <c r="H254" s="126">
        <f t="shared" si="90"/>
        <v>122.22999999999999</v>
      </c>
      <c r="I254" s="126">
        <f t="shared" si="89"/>
        <v>237.49352331606218</v>
      </c>
      <c r="J254" s="14">
        <v>1544</v>
      </c>
    </row>
    <row r="255" spans="1:16" ht="12.75" customHeight="1" x14ac:dyDescent="0.2">
      <c r="A255" s="184"/>
      <c r="B255" s="185" t="s">
        <v>596</v>
      </c>
      <c r="C255" s="126">
        <v>0</v>
      </c>
      <c r="D255" s="126">
        <v>0</v>
      </c>
      <c r="E255" s="302">
        <v>0</v>
      </c>
      <c r="F255" s="117"/>
      <c r="G255" s="126">
        <v>0</v>
      </c>
      <c r="H255" s="126">
        <v>0</v>
      </c>
      <c r="I255" s="126">
        <f t="shared" si="89"/>
        <v>0</v>
      </c>
      <c r="J255" s="14">
        <v>18000</v>
      </c>
      <c r="K255" s="341"/>
    </row>
    <row r="256" spans="1:16" ht="12.75" customHeight="1" x14ac:dyDescent="0.2">
      <c r="A256" s="184"/>
      <c r="B256" s="185" t="s">
        <v>595</v>
      </c>
      <c r="C256" s="126">
        <v>735147</v>
      </c>
      <c r="D256" s="126">
        <v>735147</v>
      </c>
      <c r="E256" s="302">
        <v>719293</v>
      </c>
      <c r="F256" s="117"/>
      <c r="G256" s="126">
        <f t="shared" si="78"/>
        <v>97.84342451237643</v>
      </c>
      <c r="H256" s="126">
        <f t="shared" si="90"/>
        <v>97.84342451237643</v>
      </c>
      <c r="I256" s="126">
        <f t="shared" si="89"/>
        <v>227.36390590526042</v>
      </c>
      <c r="J256" s="14">
        <v>316362</v>
      </c>
      <c r="K256" s="341"/>
    </row>
    <row r="257" spans="1:16" ht="12.75" customHeight="1" x14ac:dyDescent="0.2">
      <c r="A257" s="184"/>
      <c r="B257" s="185" t="s">
        <v>594</v>
      </c>
      <c r="C257" s="126">
        <v>632973</v>
      </c>
      <c r="D257" s="126">
        <v>632973</v>
      </c>
      <c r="E257" s="302">
        <v>632973</v>
      </c>
      <c r="F257" s="117"/>
      <c r="G257" s="126">
        <f t="shared" si="78"/>
        <v>100</v>
      </c>
      <c r="H257" s="126">
        <f t="shared" si="90"/>
        <v>100</v>
      </c>
      <c r="I257" s="126">
        <v>0</v>
      </c>
      <c r="J257" s="14">
        <v>0</v>
      </c>
      <c r="K257" s="341"/>
    </row>
    <row r="258" spans="1:16" ht="12.75" customHeight="1" x14ac:dyDescent="0.2">
      <c r="A258" s="184"/>
      <c r="B258" s="185" t="s">
        <v>931</v>
      </c>
      <c r="C258" s="126">
        <v>0</v>
      </c>
      <c r="D258" s="126">
        <f>434660-299918.1-134741.9</f>
        <v>0</v>
      </c>
      <c r="E258" s="302">
        <v>0</v>
      </c>
      <c r="F258" s="117"/>
      <c r="G258" s="126">
        <v>0</v>
      </c>
      <c r="H258" s="126">
        <v>0</v>
      </c>
      <c r="I258" s="126">
        <v>0</v>
      </c>
      <c r="J258" s="14">
        <v>0</v>
      </c>
      <c r="K258" s="341"/>
    </row>
    <row r="259" spans="1:16" ht="12.75" customHeight="1" x14ac:dyDescent="0.2">
      <c r="A259" s="184"/>
      <c r="B259" s="185" t="s">
        <v>1074</v>
      </c>
      <c r="C259" s="126">
        <v>0</v>
      </c>
      <c r="D259" s="126">
        <v>149629</v>
      </c>
      <c r="E259" s="302">
        <v>149629</v>
      </c>
      <c r="F259" s="117"/>
      <c r="G259" s="126">
        <v>0</v>
      </c>
      <c r="H259" s="126">
        <f t="shared" si="90"/>
        <v>100</v>
      </c>
      <c r="I259" s="126">
        <v>0</v>
      </c>
      <c r="J259" s="14">
        <v>0</v>
      </c>
      <c r="K259" s="341"/>
    </row>
    <row r="260" spans="1:16" ht="12.75" customHeight="1" x14ac:dyDescent="0.2">
      <c r="A260" s="184"/>
      <c r="B260" s="185" t="s">
        <v>593</v>
      </c>
      <c r="C260" s="126">
        <v>0</v>
      </c>
      <c r="D260" s="126">
        <v>4000</v>
      </c>
      <c r="E260" s="302">
        <v>4000</v>
      </c>
      <c r="F260" s="117"/>
      <c r="G260" s="126">
        <v>0</v>
      </c>
      <c r="H260" s="126">
        <f t="shared" si="90"/>
        <v>100</v>
      </c>
      <c r="I260" s="126">
        <f t="shared" si="89"/>
        <v>400</v>
      </c>
      <c r="J260" s="14">
        <v>1000</v>
      </c>
    </row>
    <row r="261" spans="1:16" x14ac:dyDescent="0.2">
      <c r="A261" s="123"/>
      <c r="B261" s="155" t="s">
        <v>592</v>
      </c>
      <c r="C261" s="126">
        <v>0</v>
      </c>
      <c r="D261" s="126">
        <v>0</v>
      </c>
      <c r="E261" s="302">
        <v>300</v>
      </c>
      <c r="F261" s="117"/>
      <c r="G261" s="126">
        <v>0</v>
      </c>
      <c r="H261" s="126">
        <v>0</v>
      </c>
      <c r="I261" s="126">
        <f t="shared" si="89"/>
        <v>60</v>
      </c>
      <c r="J261" s="14">
        <v>500</v>
      </c>
    </row>
    <row r="262" spans="1:16" x14ac:dyDescent="0.2">
      <c r="A262" s="123"/>
      <c r="B262" s="155" t="s">
        <v>1011</v>
      </c>
      <c r="C262" s="126">
        <v>0</v>
      </c>
      <c r="D262" s="126">
        <f>598048.54</f>
        <v>598048.54</v>
      </c>
      <c r="E262" s="302">
        <v>598048.54</v>
      </c>
      <c r="F262" s="117"/>
      <c r="G262" s="126">
        <v>0</v>
      </c>
      <c r="H262" s="126">
        <f t="shared" si="75"/>
        <v>100</v>
      </c>
      <c r="I262" s="126">
        <v>0</v>
      </c>
      <c r="J262" s="14">
        <v>0</v>
      </c>
    </row>
    <row r="263" spans="1:16" ht="12.75" customHeight="1" x14ac:dyDescent="0.2">
      <c r="A263" s="184">
        <v>4122</v>
      </c>
      <c r="B263" s="350" t="s">
        <v>591</v>
      </c>
      <c r="C263" s="121">
        <f>SUM(C264:C268)</f>
        <v>0</v>
      </c>
      <c r="D263" s="121">
        <f>SUM(D264:D268)</f>
        <v>10320194.67</v>
      </c>
      <c r="E263" s="18">
        <v>10320194.67</v>
      </c>
      <c r="F263" s="130">
        <f>SUM(E264:E268)</f>
        <v>10320194.67</v>
      </c>
      <c r="G263" s="120">
        <v>0</v>
      </c>
      <c r="H263" s="120">
        <f t="shared" si="75"/>
        <v>100</v>
      </c>
      <c r="I263" s="120">
        <f t="shared" ref="I263:I268" si="91">E263/J263*100</f>
        <v>118.02340065292381</v>
      </c>
      <c r="J263" s="14">
        <v>8744193.6199999992</v>
      </c>
      <c r="K263" s="341"/>
    </row>
    <row r="264" spans="1:16" s="3" customFormat="1" ht="12.75" customHeight="1" x14ac:dyDescent="0.2">
      <c r="A264" s="343"/>
      <c r="B264" s="342" t="s">
        <v>590</v>
      </c>
      <c r="C264" s="126">
        <v>0</v>
      </c>
      <c r="D264" s="126">
        <f>106000-6000</f>
        <v>100000</v>
      </c>
      <c r="E264" s="130">
        <v>100000</v>
      </c>
      <c r="F264" s="130"/>
      <c r="G264" s="126">
        <v>0</v>
      </c>
      <c r="H264" s="126">
        <f t="shared" si="75"/>
        <v>100</v>
      </c>
      <c r="I264" s="126">
        <f t="shared" si="91"/>
        <v>408.7137777414477</v>
      </c>
      <c r="J264" s="14">
        <v>24467</v>
      </c>
      <c r="K264" s="341"/>
    </row>
    <row r="265" spans="1:16" s="3" customFormat="1" ht="12.75" customHeight="1" x14ac:dyDescent="0.2">
      <c r="A265" s="343"/>
      <c r="B265" s="342" t="s">
        <v>588</v>
      </c>
      <c r="C265" s="126">
        <v>0</v>
      </c>
      <c r="D265" s="126">
        <f>4123000</f>
        <v>4123000</v>
      </c>
      <c r="E265" s="130">
        <v>4123000</v>
      </c>
      <c r="F265" s="130"/>
      <c r="G265" s="126">
        <v>0</v>
      </c>
      <c r="H265" s="126">
        <f t="shared" si="75"/>
        <v>100</v>
      </c>
      <c r="I265" s="126">
        <f t="shared" si="91"/>
        <v>130.76435141135428</v>
      </c>
      <c r="J265" s="14">
        <v>3153000</v>
      </c>
      <c r="K265" s="341"/>
    </row>
    <row r="266" spans="1:16" s="3" customFormat="1" ht="12.75" customHeight="1" x14ac:dyDescent="0.2">
      <c r="A266" s="343"/>
      <c r="B266" s="342" t="s">
        <v>907</v>
      </c>
      <c r="C266" s="126">
        <v>0</v>
      </c>
      <c r="D266" s="126">
        <v>100000</v>
      </c>
      <c r="E266" s="130">
        <v>100000</v>
      </c>
      <c r="F266" s="130"/>
      <c r="G266" s="126">
        <v>0</v>
      </c>
      <c r="H266" s="126">
        <f t="shared" si="75"/>
        <v>100</v>
      </c>
      <c r="I266" s="126">
        <f t="shared" si="91"/>
        <v>447.7678771324945</v>
      </c>
      <c r="J266" s="14">
        <v>22333</v>
      </c>
      <c r="K266" s="341"/>
    </row>
    <row r="267" spans="1:16" ht="12.75" customHeight="1" x14ac:dyDescent="0.2">
      <c r="A267" s="124"/>
      <c r="B267" s="185" t="s">
        <v>1022</v>
      </c>
      <c r="C267" s="127">
        <v>0</v>
      </c>
      <c r="D267" s="127">
        <f>(4839.58+27424.29+2670.26+15131.44+4369.37+24759.73)</f>
        <v>79194.670000000013</v>
      </c>
      <c r="E267" s="127">
        <v>79194.67</v>
      </c>
      <c r="F267" s="127"/>
      <c r="G267" s="126">
        <v>0</v>
      </c>
      <c r="H267" s="126">
        <f>E267/D267*100</f>
        <v>99.999999999999972</v>
      </c>
      <c r="I267" s="126">
        <f>E267/J267*100</f>
        <v>25.498932095959454</v>
      </c>
      <c r="J267" s="14">
        <v>310580.34000000003</v>
      </c>
      <c r="P267" s="341"/>
    </row>
    <row r="268" spans="1:16" ht="12.75" customHeight="1" x14ac:dyDescent="0.2">
      <c r="A268" s="184"/>
      <c r="B268" s="185" t="s">
        <v>587</v>
      </c>
      <c r="C268" s="126">
        <v>0</v>
      </c>
      <c r="D268" s="126">
        <f>5584000+334000</f>
        <v>5918000</v>
      </c>
      <c r="E268" s="130">
        <v>5918000</v>
      </c>
      <c r="F268" s="130"/>
      <c r="G268" s="126">
        <v>0</v>
      </c>
      <c r="H268" s="126">
        <f t="shared" si="75"/>
        <v>100</v>
      </c>
      <c r="I268" s="126">
        <f t="shared" si="91"/>
        <v>1646.9254076091684</v>
      </c>
      <c r="J268" s="351">
        <v>359336.25</v>
      </c>
      <c r="K268" s="341"/>
    </row>
    <row r="269" spans="1:16" s="3" customFormat="1" ht="12.75" customHeight="1" x14ac:dyDescent="0.2">
      <c r="A269" s="576">
        <v>4129</v>
      </c>
      <c r="B269" s="19" t="s">
        <v>947</v>
      </c>
      <c r="C269" s="120">
        <v>0</v>
      </c>
      <c r="D269" s="120">
        <f>1000</f>
        <v>1000</v>
      </c>
      <c r="E269" s="121">
        <v>1000</v>
      </c>
      <c r="F269" s="130"/>
      <c r="G269" s="120">
        <v>0</v>
      </c>
      <c r="H269" s="120">
        <f t="shared" si="75"/>
        <v>100</v>
      </c>
      <c r="I269" s="120">
        <v>0</v>
      </c>
      <c r="J269" s="14">
        <v>0</v>
      </c>
    </row>
    <row r="270" spans="1:16" s="3" customFormat="1" ht="12.75" customHeight="1" x14ac:dyDescent="0.2">
      <c r="A270" s="576">
        <v>4134</v>
      </c>
      <c r="B270" s="123" t="s">
        <v>785</v>
      </c>
      <c r="C270" s="120">
        <v>5900000</v>
      </c>
      <c r="D270" s="120">
        <v>5900000</v>
      </c>
      <c r="E270" s="121">
        <v>5900000</v>
      </c>
      <c r="F270" s="130"/>
      <c r="G270" s="120">
        <f t="shared" si="78"/>
        <v>100</v>
      </c>
      <c r="H270" s="120">
        <f t="shared" si="75"/>
        <v>100</v>
      </c>
      <c r="I270" s="120">
        <f>E270/J270*100</f>
        <v>96.967672471957414</v>
      </c>
      <c r="J270" s="14">
        <v>6084502.0300000003</v>
      </c>
    </row>
    <row r="271" spans="1:16" s="3" customFormat="1" ht="12.75" customHeight="1" x14ac:dyDescent="0.2">
      <c r="A271" s="123">
        <v>4213</v>
      </c>
      <c r="B271" s="123" t="s">
        <v>586</v>
      </c>
      <c r="C271" s="122">
        <f>SUM(C272:C275)</f>
        <v>1048657.06</v>
      </c>
      <c r="D271" s="122">
        <f>SUM(D272:D277)</f>
        <v>910147</v>
      </c>
      <c r="E271" s="121">
        <v>910147</v>
      </c>
      <c r="F271" s="130">
        <f>SUM(E272:E277)</f>
        <v>910147</v>
      </c>
      <c r="G271" s="120">
        <f t="shared" si="78"/>
        <v>86.791672389064928</v>
      </c>
      <c r="H271" s="120">
        <f t="shared" si="75"/>
        <v>100</v>
      </c>
      <c r="I271" s="120">
        <v>0</v>
      </c>
      <c r="J271" s="14">
        <v>0</v>
      </c>
    </row>
    <row r="272" spans="1:16" s="2" customFormat="1" ht="12.75" customHeight="1" x14ac:dyDescent="0.2">
      <c r="A272" s="131"/>
      <c r="B272" s="307" t="s">
        <v>1048</v>
      </c>
      <c r="C272" s="126">
        <v>250000</v>
      </c>
      <c r="D272" s="126">
        <f>250000-12036-100</f>
        <v>237864</v>
      </c>
      <c r="E272" s="302">
        <v>237864</v>
      </c>
      <c r="F272" s="117"/>
      <c r="G272" s="126">
        <f t="shared" si="78"/>
        <v>95.145600000000002</v>
      </c>
      <c r="H272" s="126">
        <f>E272/D272*100</f>
        <v>100</v>
      </c>
      <c r="I272" s="126">
        <v>0</v>
      </c>
      <c r="J272" s="201">
        <v>0</v>
      </c>
    </row>
    <row r="273" spans="1:11" s="2" customFormat="1" ht="12.75" customHeight="1" x14ac:dyDescent="0.2">
      <c r="A273" s="131"/>
      <c r="B273" s="307" t="s">
        <v>948</v>
      </c>
      <c r="C273" s="126">
        <v>200000</v>
      </c>
      <c r="D273" s="126">
        <f>200000-200000</f>
        <v>0</v>
      </c>
      <c r="E273" s="297">
        <v>0</v>
      </c>
      <c r="F273" s="130"/>
      <c r="G273" s="126">
        <f t="shared" si="78"/>
        <v>0</v>
      </c>
      <c r="H273" s="126">
        <v>0</v>
      </c>
      <c r="I273" s="126">
        <v>0</v>
      </c>
      <c r="J273" s="14">
        <v>0</v>
      </c>
    </row>
    <row r="274" spans="1:11" s="2" customFormat="1" ht="12.75" customHeight="1" x14ac:dyDescent="0.2">
      <c r="A274" s="131"/>
      <c r="B274" s="307" t="s">
        <v>1057</v>
      </c>
      <c r="C274" s="126">
        <v>215516.54</v>
      </c>
      <c r="D274" s="126">
        <f>215516.54+0.46</f>
        <v>215517</v>
      </c>
      <c r="E274" s="297">
        <v>215517</v>
      </c>
      <c r="F274" s="130"/>
      <c r="G274" s="126">
        <f t="shared" si="78"/>
        <v>100.00021344069461</v>
      </c>
      <c r="H274" s="126">
        <f>E274/D274*100</f>
        <v>100</v>
      </c>
      <c r="I274" s="126">
        <v>0</v>
      </c>
      <c r="J274" s="14">
        <v>0</v>
      </c>
    </row>
    <row r="275" spans="1:11" s="2" customFormat="1" ht="12.75" customHeight="1" x14ac:dyDescent="0.2">
      <c r="A275" s="131"/>
      <c r="B275" s="307" t="s">
        <v>1058</v>
      </c>
      <c r="C275" s="126">
        <v>383140.52</v>
      </c>
      <c r="D275" s="126">
        <f>383140.52-0.52</f>
        <v>383140</v>
      </c>
      <c r="E275" s="297">
        <v>383140</v>
      </c>
      <c r="F275" s="130"/>
      <c r="G275" s="126">
        <f t="shared" si="78"/>
        <v>99.999864279559887</v>
      </c>
      <c r="H275" s="126">
        <f t="shared" si="75"/>
        <v>100</v>
      </c>
      <c r="I275" s="126">
        <v>0</v>
      </c>
      <c r="J275" s="14">
        <v>0</v>
      </c>
    </row>
    <row r="276" spans="1:11" s="2" customFormat="1" ht="12.75" customHeight="1" x14ac:dyDescent="0.2">
      <c r="A276" s="131"/>
      <c r="B276" s="131" t="s">
        <v>1037</v>
      </c>
      <c r="C276" s="127">
        <v>0</v>
      </c>
      <c r="D276" s="127">
        <v>26506</v>
      </c>
      <c r="E276" s="126">
        <v>26506</v>
      </c>
      <c r="F276" s="126"/>
      <c r="G276" s="126">
        <v>0</v>
      </c>
      <c r="H276" s="126">
        <f t="shared" si="75"/>
        <v>100</v>
      </c>
      <c r="I276" s="126">
        <v>0</v>
      </c>
      <c r="J276" s="6">
        <v>0</v>
      </c>
    </row>
    <row r="277" spans="1:11" s="2" customFormat="1" ht="12.75" customHeight="1" x14ac:dyDescent="0.2">
      <c r="A277" s="131"/>
      <c r="B277" s="131" t="s">
        <v>1038</v>
      </c>
      <c r="C277" s="127">
        <v>0</v>
      </c>
      <c r="D277" s="127">
        <v>47120</v>
      </c>
      <c r="E277" s="126">
        <v>47120</v>
      </c>
      <c r="F277" s="126"/>
      <c r="G277" s="126">
        <v>0</v>
      </c>
      <c r="H277" s="126">
        <f t="shared" si="75"/>
        <v>100</v>
      </c>
      <c r="I277" s="126">
        <v>0</v>
      </c>
      <c r="J277" s="6">
        <v>0</v>
      </c>
    </row>
    <row r="278" spans="1:11" s="3" customFormat="1" ht="12.75" customHeight="1" x14ac:dyDescent="0.2">
      <c r="A278" s="184">
        <v>4216</v>
      </c>
      <c r="B278" s="349" t="s">
        <v>581</v>
      </c>
      <c r="C278" s="348">
        <f>SUM(C279:C293)</f>
        <v>11598412.65</v>
      </c>
      <c r="D278" s="348">
        <f>SUM(D279:D293)</f>
        <v>10699579.199999999</v>
      </c>
      <c r="E278" s="122">
        <v>10699579.199999999</v>
      </c>
      <c r="F278" s="127">
        <f>SUM(E279:E293)</f>
        <v>10699579.199999999</v>
      </c>
      <c r="G278" s="120">
        <f t="shared" si="78"/>
        <v>92.250375313211492</v>
      </c>
      <c r="H278" s="120">
        <f>E278/D278*100</f>
        <v>100</v>
      </c>
      <c r="I278" s="120">
        <f>E278/J278*100</f>
        <v>30.185078185114328</v>
      </c>
      <c r="J278" s="14">
        <v>35446584.350000001</v>
      </c>
      <c r="K278" s="341"/>
    </row>
    <row r="279" spans="1:11" s="3" customFormat="1" ht="12.75" customHeight="1" x14ac:dyDescent="0.2">
      <c r="A279" s="343"/>
      <c r="B279" s="347" t="s">
        <v>949</v>
      </c>
      <c r="C279" s="126">
        <v>5992790.4299999997</v>
      </c>
      <c r="D279" s="126">
        <f>5992790.43-5992790.43</f>
        <v>0</v>
      </c>
      <c r="E279" s="127">
        <v>0</v>
      </c>
      <c r="F279" s="127"/>
      <c r="G279" s="126">
        <f>E279/C279*100</f>
        <v>0</v>
      </c>
      <c r="H279" s="126">
        <v>0</v>
      </c>
      <c r="I279" s="126">
        <v>0</v>
      </c>
      <c r="J279" s="14">
        <v>0</v>
      </c>
      <c r="K279" s="341"/>
    </row>
    <row r="280" spans="1:11" s="3" customFormat="1" ht="12.75" customHeight="1" x14ac:dyDescent="0.2">
      <c r="A280" s="343"/>
      <c r="B280" s="347" t="s">
        <v>950</v>
      </c>
      <c r="C280" s="126">
        <v>3605622.22</v>
      </c>
      <c r="D280" s="126">
        <f>3605622.22-3605622.22</f>
        <v>0</v>
      </c>
      <c r="E280" s="302">
        <v>0</v>
      </c>
      <c r="F280" s="117"/>
      <c r="G280" s="126">
        <f>E280/C280*100</f>
        <v>0</v>
      </c>
      <c r="H280" s="126">
        <v>0</v>
      </c>
      <c r="I280" s="126">
        <v>0</v>
      </c>
      <c r="J280" s="201">
        <v>0</v>
      </c>
      <c r="K280" s="341"/>
    </row>
    <row r="281" spans="1:11" s="3" customFormat="1" ht="12.75" customHeight="1" x14ac:dyDescent="0.2">
      <c r="A281" s="343"/>
      <c r="B281" s="342" t="s">
        <v>904</v>
      </c>
      <c r="C281" s="126">
        <v>0</v>
      </c>
      <c r="D281" s="126">
        <f>(59625+506812.5)</f>
        <v>566437.5</v>
      </c>
      <c r="E281" s="104">
        <v>566437.5</v>
      </c>
      <c r="F281" s="206"/>
      <c r="G281" s="126">
        <v>0</v>
      </c>
      <c r="H281" s="126">
        <f>E281/D281*100</f>
        <v>100</v>
      </c>
      <c r="I281" s="126">
        <v>0</v>
      </c>
      <c r="J281" s="14">
        <v>0</v>
      </c>
      <c r="K281" s="341"/>
    </row>
    <row r="282" spans="1:11" s="3" customFormat="1" ht="12.75" customHeight="1" x14ac:dyDescent="0.2">
      <c r="A282" s="343"/>
      <c r="B282" s="185" t="s">
        <v>1019</v>
      </c>
      <c r="C282" s="126">
        <v>0</v>
      </c>
      <c r="D282" s="126">
        <v>142709.29</v>
      </c>
      <c r="E282" s="130">
        <v>142709.29</v>
      </c>
      <c r="F282" s="130"/>
      <c r="G282" s="126">
        <v>0</v>
      </c>
      <c r="H282" s="126">
        <f>E282/D282*100</f>
        <v>100</v>
      </c>
      <c r="I282" s="126">
        <v>0</v>
      </c>
      <c r="J282" s="14">
        <v>0</v>
      </c>
      <c r="K282" s="341"/>
    </row>
    <row r="283" spans="1:11" s="3" customFormat="1" ht="12.75" customHeight="1" x14ac:dyDescent="0.2">
      <c r="A283" s="343"/>
      <c r="B283" s="185" t="s">
        <v>1020</v>
      </c>
      <c r="C283" s="126">
        <v>0</v>
      </c>
      <c r="D283" s="126">
        <v>2426057.88</v>
      </c>
      <c r="E283" s="130">
        <v>2426057.88</v>
      </c>
      <c r="F283" s="130"/>
      <c r="G283" s="126">
        <v>0</v>
      </c>
      <c r="H283" s="126">
        <f t="shared" ref="H283" si="92">E283/D283*100</f>
        <v>100</v>
      </c>
      <c r="I283" s="126">
        <v>0</v>
      </c>
      <c r="J283" s="14">
        <v>0</v>
      </c>
      <c r="K283" s="341"/>
    </row>
    <row r="284" spans="1:11" s="3" customFormat="1" ht="12.75" customHeight="1" x14ac:dyDescent="0.2">
      <c r="A284" s="343"/>
      <c r="B284" s="185" t="s">
        <v>1043</v>
      </c>
      <c r="C284" s="126">
        <v>0</v>
      </c>
      <c r="D284" s="126">
        <v>155438.29999999999</v>
      </c>
      <c r="E284" s="130">
        <v>155438.29999999999</v>
      </c>
      <c r="F284" s="130"/>
      <c r="G284" s="126">
        <v>0</v>
      </c>
      <c r="H284" s="126">
        <f>E284/D284*100</f>
        <v>100</v>
      </c>
      <c r="I284" s="126">
        <f>E284/J284*100</f>
        <v>233.87319552759266</v>
      </c>
      <c r="J284" s="14">
        <v>66462.64</v>
      </c>
      <c r="K284" s="341"/>
    </row>
    <row r="285" spans="1:11" s="3" customFormat="1" ht="12.75" customHeight="1" x14ac:dyDescent="0.2">
      <c r="A285" s="343"/>
      <c r="B285" s="185" t="s">
        <v>1044</v>
      </c>
      <c r="C285" s="126">
        <v>0</v>
      </c>
      <c r="D285" s="126">
        <v>2642451.15</v>
      </c>
      <c r="E285" s="130">
        <v>2642451.15</v>
      </c>
      <c r="F285" s="130"/>
      <c r="G285" s="126">
        <v>0</v>
      </c>
      <c r="H285" s="126">
        <f t="shared" ref="H285" si="93">E285/D285*100</f>
        <v>100</v>
      </c>
      <c r="I285" s="126">
        <f t="shared" ref="I285" si="94">E285/J285*100</f>
        <v>233.87320823258824</v>
      </c>
      <c r="J285" s="14">
        <v>1129864.8400000001</v>
      </c>
      <c r="K285" s="341"/>
    </row>
    <row r="286" spans="1:11" s="3" customFormat="1" ht="12.75" customHeight="1" x14ac:dyDescent="0.2">
      <c r="A286" s="343"/>
      <c r="B286" s="185" t="s">
        <v>872</v>
      </c>
      <c r="C286" s="126">
        <v>0</v>
      </c>
      <c r="D286" s="126">
        <v>51518.6</v>
      </c>
      <c r="E286" s="206">
        <v>51518.6</v>
      </c>
      <c r="F286" s="206"/>
      <c r="G286" s="126">
        <v>0</v>
      </c>
      <c r="H286" s="126">
        <f t="shared" ref="H286:H289" si="95">E286/D286*100</f>
        <v>100</v>
      </c>
      <c r="I286" s="126">
        <v>0</v>
      </c>
      <c r="J286" s="14">
        <v>0</v>
      </c>
      <c r="K286" s="341"/>
    </row>
    <row r="287" spans="1:11" s="3" customFormat="1" ht="12.75" customHeight="1" x14ac:dyDescent="0.2">
      <c r="A287" s="343"/>
      <c r="B287" s="185" t="s">
        <v>873</v>
      </c>
      <c r="C287" s="126">
        <v>0</v>
      </c>
      <c r="D287" s="126">
        <v>875816.2</v>
      </c>
      <c r="E287" s="206">
        <v>875816.2</v>
      </c>
      <c r="F287" s="206"/>
      <c r="G287" s="126">
        <v>0</v>
      </c>
      <c r="H287" s="126">
        <f t="shared" si="95"/>
        <v>100</v>
      </c>
      <c r="I287" s="126">
        <v>0</v>
      </c>
      <c r="J287" s="14">
        <v>0</v>
      </c>
      <c r="K287" s="341"/>
    </row>
    <row r="288" spans="1:11" ht="12.75" customHeight="1" x14ac:dyDescent="0.2">
      <c r="A288" s="185"/>
      <c r="B288" s="185" t="s">
        <v>885</v>
      </c>
      <c r="C288" s="126">
        <v>0</v>
      </c>
      <c r="D288" s="126">
        <v>43084.73</v>
      </c>
      <c r="E288" s="206">
        <v>43084.73</v>
      </c>
      <c r="F288" s="206"/>
      <c r="G288" s="126">
        <v>0</v>
      </c>
      <c r="H288" s="126">
        <f t="shared" si="95"/>
        <v>100</v>
      </c>
      <c r="I288" s="126">
        <v>0</v>
      </c>
      <c r="J288" s="14">
        <v>0</v>
      </c>
      <c r="K288" s="341"/>
    </row>
    <row r="289" spans="1:11" ht="12.75" customHeight="1" x14ac:dyDescent="0.2">
      <c r="A289" s="185"/>
      <c r="B289" s="185" t="s">
        <v>886</v>
      </c>
      <c r="C289" s="126">
        <v>0</v>
      </c>
      <c r="D289" s="126">
        <v>861694.74</v>
      </c>
      <c r="E289" s="206">
        <v>861694.74</v>
      </c>
      <c r="F289" s="206"/>
      <c r="G289" s="126">
        <v>0</v>
      </c>
      <c r="H289" s="126">
        <f t="shared" si="95"/>
        <v>100</v>
      </c>
      <c r="I289" s="126">
        <v>0</v>
      </c>
      <c r="J289" s="14">
        <v>0</v>
      </c>
      <c r="K289" s="341"/>
    </row>
    <row r="290" spans="1:11" ht="12.75" customHeight="1" x14ac:dyDescent="0.2">
      <c r="A290" s="185"/>
      <c r="B290" s="185" t="s">
        <v>1033</v>
      </c>
      <c r="C290" s="126">
        <v>0</v>
      </c>
      <c r="D290" s="126">
        <v>33696.629999999997</v>
      </c>
      <c r="E290" s="206">
        <v>33696.629999999997</v>
      </c>
      <c r="F290" s="206"/>
      <c r="G290" s="126">
        <v>0</v>
      </c>
      <c r="H290" s="126">
        <f t="shared" ref="H290:H291" si="96">E290/D290*100</f>
        <v>100</v>
      </c>
      <c r="I290" s="126">
        <v>0</v>
      </c>
      <c r="J290" s="14">
        <v>0</v>
      </c>
      <c r="K290" s="341"/>
    </row>
    <row r="291" spans="1:11" ht="12.75" customHeight="1" x14ac:dyDescent="0.2">
      <c r="A291" s="185"/>
      <c r="B291" s="185" t="s">
        <v>1034</v>
      </c>
      <c r="C291" s="126">
        <v>0</v>
      </c>
      <c r="D291" s="126">
        <v>673932.66</v>
      </c>
      <c r="E291" s="206">
        <v>673932.66</v>
      </c>
      <c r="F291" s="206"/>
      <c r="G291" s="126">
        <v>0</v>
      </c>
      <c r="H291" s="126">
        <f t="shared" si="96"/>
        <v>100</v>
      </c>
      <c r="I291" s="126">
        <v>0</v>
      </c>
      <c r="J291" s="14">
        <v>0</v>
      </c>
      <c r="K291" s="341"/>
    </row>
    <row r="292" spans="1:11" s="3" customFormat="1" ht="12" customHeight="1" x14ac:dyDescent="0.2">
      <c r="A292" s="180"/>
      <c r="B292" s="237" t="s">
        <v>892</v>
      </c>
      <c r="C292" s="130">
        <v>0</v>
      </c>
      <c r="D292" s="130">
        <f>2226747.48-5.96</f>
        <v>2226741.52</v>
      </c>
      <c r="E292" s="130">
        <v>2226741.52</v>
      </c>
      <c r="F292" s="130"/>
      <c r="G292" s="126">
        <v>0</v>
      </c>
      <c r="H292" s="126">
        <f>E292/D292*100</f>
        <v>100</v>
      </c>
      <c r="I292" s="126">
        <v>0</v>
      </c>
      <c r="J292" s="6">
        <v>0</v>
      </c>
    </row>
    <row r="293" spans="1:11" s="3" customFormat="1" ht="12.75" customHeight="1" x14ac:dyDescent="0.2">
      <c r="A293" s="346"/>
      <c r="B293" s="154" t="s">
        <v>578</v>
      </c>
      <c r="C293" s="196">
        <v>2000000</v>
      </c>
      <c r="D293" s="196">
        <f>2000000-2000000</f>
        <v>0</v>
      </c>
      <c r="E293" s="483">
        <v>0</v>
      </c>
      <c r="F293" s="483"/>
      <c r="G293" s="126">
        <f t="shared" si="78"/>
        <v>0</v>
      </c>
      <c r="H293" s="126">
        <v>0</v>
      </c>
      <c r="I293" s="126">
        <v>0</v>
      </c>
      <c r="J293" s="14">
        <v>0</v>
      </c>
    </row>
    <row r="294" spans="1:11" s="3" customFormat="1" ht="12.75" customHeight="1" x14ac:dyDescent="0.2">
      <c r="A294" s="123">
        <v>4222</v>
      </c>
      <c r="B294" s="345" t="s">
        <v>577</v>
      </c>
      <c r="C294" s="344">
        <f>SUM(C295:C299)</f>
        <v>9260000</v>
      </c>
      <c r="D294" s="344">
        <f>SUM(D295:D299)</f>
        <v>4009154.25</v>
      </c>
      <c r="E294" s="121">
        <v>4009154.25</v>
      </c>
      <c r="F294" s="130">
        <f>SUM(E295:E299)</f>
        <v>4009154.25</v>
      </c>
      <c r="G294" s="120">
        <f t="shared" si="78"/>
        <v>43.295402267818574</v>
      </c>
      <c r="H294" s="120">
        <f>E294/D294*100</f>
        <v>100</v>
      </c>
      <c r="I294" s="120">
        <f t="shared" ref="I294" si="97">E294/J294*100</f>
        <v>1132.2096159277039</v>
      </c>
      <c r="J294" s="14">
        <v>354100</v>
      </c>
    </row>
    <row r="295" spans="1:11" s="2" customFormat="1" ht="12.75" customHeight="1" x14ac:dyDescent="0.2">
      <c r="A295" s="340"/>
      <c r="B295" s="339" t="s">
        <v>576</v>
      </c>
      <c r="C295" s="126">
        <v>3700000</v>
      </c>
      <c r="D295" s="126">
        <f>3700000+(3436854.42-3700000)</f>
        <v>3436854.42</v>
      </c>
      <c r="E295" s="297">
        <v>3436854.42</v>
      </c>
      <c r="F295" s="130"/>
      <c r="G295" s="126">
        <f t="shared" si="78"/>
        <v>92.887957297297291</v>
      </c>
      <c r="H295" s="126">
        <f>E295/D295*100</f>
        <v>100</v>
      </c>
      <c r="I295" s="126">
        <v>0</v>
      </c>
      <c r="J295" s="14">
        <v>0</v>
      </c>
    </row>
    <row r="296" spans="1:11" s="3" customFormat="1" ht="12.75" customHeight="1" x14ac:dyDescent="0.2">
      <c r="A296" s="343"/>
      <c r="B296" s="342" t="s">
        <v>574</v>
      </c>
      <c r="C296" s="126">
        <v>5500000</v>
      </c>
      <c r="D296" s="126">
        <f>5500000-5500000</f>
        <v>0</v>
      </c>
      <c r="E296" s="297">
        <v>0</v>
      </c>
      <c r="F296" s="130"/>
      <c r="G296" s="126">
        <f t="shared" si="78"/>
        <v>0</v>
      </c>
      <c r="H296" s="126">
        <v>0</v>
      </c>
      <c r="I296" s="126">
        <v>0</v>
      </c>
      <c r="J296" s="14">
        <v>0</v>
      </c>
      <c r="K296" s="341"/>
    </row>
    <row r="297" spans="1:11" s="2" customFormat="1" ht="12.75" customHeight="1" x14ac:dyDescent="0.2">
      <c r="A297" s="340"/>
      <c r="B297" s="339" t="s">
        <v>573</v>
      </c>
      <c r="C297" s="126">
        <v>60000</v>
      </c>
      <c r="D297" s="126">
        <f>60000-60000+65339.83</f>
        <v>65339.83</v>
      </c>
      <c r="E297" s="297">
        <v>65339.83</v>
      </c>
      <c r="F297" s="130"/>
      <c r="G297" s="126">
        <f t="shared" ref="G297" si="98">E297/C297*100</f>
        <v>108.89971666666666</v>
      </c>
      <c r="H297" s="126">
        <f t="shared" ref="H297:H299" si="99">E297/D297*100</f>
        <v>100</v>
      </c>
      <c r="I297" s="126">
        <f t="shared" ref="I297" si="100">E297/J297*100</f>
        <v>27.224929166666666</v>
      </c>
      <c r="J297" s="14">
        <v>240000</v>
      </c>
    </row>
    <row r="298" spans="1:11" s="2" customFormat="1" ht="12.75" customHeight="1" x14ac:dyDescent="0.2">
      <c r="A298" s="340"/>
      <c r="B298" s="339" t="s">
        <v>985</v>
      </c>
      <c r="C298" s="126">
        <v>0</v>
      </c>
      <c r="D298" s="126">
        <v>186960</v>
      </c>
      <c r="E298" s="297">
        <v>186960</v>
      </c>
      <c r="F298" s="130"/>
      <c r="G298" s="126">
        <v>0</v>
      </c>
      <c r="H298" s="126">
        <f t="shared" si="99"/>
        <v>100</v>
      </c>
      <c r="I298" s="126">
        <v>0</v>
      </c>
      <c r="J298" s="14">
        <v>0</v>
      </c>
    </row>
    <row r="299" spans="1:11" s="2" customFormat="1" ht="12.75" customHeight="1" x14ac:dyDescent="0.2">
      <c r="A299" s="340" t="s">
        <v>986</v>
      </c>
      <c r="B299" s="339" t="s">
        <v>987</v>
      </c>
      <c r="C299" s="126">
        <v>0</v>
      </c>
      <c r="D299" s="126">
        <v>320000</v>
      </c>
      <c r="E299" s="297">
        <v>320000</v>
      </c>
      <c r="F299" s="130"/>
      <c r="G299" s="126">
        <v>0</v>
      </c>
      <c r="H299" s="126">
        <f t="shared" si="99"/>
        <v>100</v>
      </c>
      <c r="I299" s="126">
        <v>0</v>
      </c>
      <c r="J299" s="14">
        <v>0</v>
      </c>
    </row>
    <row r="300" spans="1:11" s="3" customFormat="1" ht="12.75" customHeight="1" thickBot="1" x14ac:dyDescent="0.25">
      <c r="A300" s="338"/>
      <c r="B300" s="337"/>
      <c r="C300" s="336"/>
      <c r="D300" s="336"/>
      <c r="E300" s="302"/>
      <c r="F300" s="117"/>
      <c r="G300" s="151"/>
      <c r="H300" s="151"/>
      <c r="I300" s="151"/>
      <c r="J300" s="14"/>
    </row>
    <row r="301" spans="1:11" s="587" customFormat="1" ht="24" thickBot="1" x14ac:dyDescent="0.4">
      <c r="A301" s="584"/>
      <c r="B301" s="324" t="s">
        <v>572</v>
      </c>
      <c r="C301" s="585">
        <f>SUM(C53+C88+C196+C214)</f>
        <v>706565336.28349996</v>
      </c>
      <c r="D301" s="585">
        <f>SUM(D53+D88+D196+D214)</f>
        <v>689633240.88349998</v>
      </c>
      <c r="E301" s="571">
        <v>735477699.82000005</v>
      </c>
      <c r="F301" s="317">
        <f>SUM(E53,E88,E196,E214)</f>
        <v>735477699.81999993</v>
      </c>
      <c r="G301" s="571">
        <f>E301/C301*100</f>
        <v>104.09195895295088</v>
      </c>
      <c r="H301" s="571">
        <f>E301/D301*100</f>
        <v>106.64765794609437</v>
      </c>
      <c r="I301" s="571">
        <f>E301/J301*100</f>
        <v>108.76469787517644</v>
      </c>
      <c r="J301" s="574">
        <v>676209941.45000005</v>
      </c>
    </row>
    <row r="302" spans="1:11" s="3" customFormat="1" ht="12.75" customHeight="1" thickBot="1" x14ac:dyDescent="0.3">
      <c r="A302" s="232"/>
      <c r="B302" s="334"/>
      <c r="C302" s="317"/>
      <c r="D302" s="317"/>
      <c r="E302" s="511"/>
      <c r="F302" s="317"/>
      <c r="G302" s="317"/>
      <c r="H302" s="317"/>
      <c r="I302" s="317"/>
      <c r="J302" s="14"/>
    </row>
    <row r="303" spans="1:11" s="572" customFormat="1" ht="21" thickBot="1" x14ac:dyDescent="0.35">
      <c r="A303" s="335"/>
      <c r="B303" s="139" t="s">
        <v>571</v>
      </c>
      <c r="C303" s="323">
        <f>SUM(C304:C307)</f>
        <v>195741180.47</v>
      </c>
      <c r="D303" s="323">
        <f>SUM(D304:D307)</f>
        <v>190545980.47</v>
      </c>
      <c r="E303" s="571">
        <v>-43079352.25</v>
      </c>
      <c r="F303" s="511">
        <f>SUM(E304:E307)</f>
        <v>-43079352.250000007</v>
      </c>
      <c r="G303" s="571">
        <f>E303/C303*100</f>
        <v>-22.008323515042097</v>
      </c>
      <c r="H303" s="571">
        <f>E303/D303*100</f>
        <v>-22.608376279436929</v>
      </c>
      <c r="I303" s="755">
        <f>E303/J303*100</f>
        <v>-1519.964905147983</v>
      </c>
      <c r="J303" s="574">
        <v>2834233.35</v>
      </c>
    </row>
    <row r="304" spans="1:11" ht="24.75" x14ac:dyDescent="0.2">
      <c r="A304" s="248">
        <v>8115</v>
      </c>
      <c r="B304" s="333" t="s">
        <v>570</v>
      </c>
      <c r="C304" s="120">
        <v>46346393.390000001</v>
      </c>
      <c r="D304" s="120">
        <f>46346393.39-7195200+2000000</f>
        <v>41151193.390000001</v>
      </c>
      <c r="E304" s="120">
        <v>-74860345.680000007</v>
      </c>
      <c r="F304" s="126"/>
      <c r="G304" s="120">
        <f t="shared" ref="G304:G308" si="101">E304/C304*100</f>
        <v>-161.52356247024039</v>
      </c>
      <c r="H304" s="120">
        <v>0</v>
      </c>
      <c r="I304" s="120">
        <f>E304/J304*100</f>
        <v>162.24405680972086</v>
      </c>
      <c r="J304" s="6">
        <v>-46140578.060000002</v>
      </c>
    </row>
    <row r="305" spans="1:13" ht="24.75" x14ac:dyDescent="0.2">
      <c r="A305" s="30">
        <v>8123</v>
      </c>
      <c r="B305" s="332" t="s">
        <v>568</v>
      </c>
      <c r="C305" s="120">
        <v>100000000</v>
      </c>
      <c r="D305" s="120">
        <v>100000000</v>
      </c>
      <c r="E305" s="121">
        <v>28283484.539999999</v>
      </c>
      <c r="F305" s="130"/>
      <c r="G305" s="120">
        <f t="shared" si="101"/>
        <v>28.283484539999996</v>
      </c>
      <c r="H305" s="120">
        <f t="shared" ref="H305:H308" si="102">E305/D305*100</f>
        <v>28.283484539999996</v>
      </c>
      <c r="I305" s="120">
        <v>0</v>
      </c>
      <c r="J305" s="6">
        <v>0</v>
      </c>
    </row>
    <row r="306" spans="1:13" ht="12.75" customHeight="1" x14ac:dyDescent="0.2">
      <c r="A306" s="30">
        <v>8125</v>
      </c>
      <c r="B306" s="332" t="s">
        <v>567</v>
      </c>
      <c r="C306" s="120">
        <v>50000000</v>
      </c>
      <c r="D306" s="120">
        <v>50000000</v>
      </c>
      <c r="E306" s="122">
        <v>0</v>
      </c>
      <c r="F306" s="127"/>
      <c r="G306" s="120">
        <f t="shared" si="101"/>
        <v>0</v>
      </c>
      <c r="H306" s="121">
        <f t="shared" si="102"/>
        <v>0</v>
      </c>
      <c r="I306" s="120">
        <v>0</v>
      </c>
      <c r="J306" s="6">
        <v>0</v>
      </c>
    </row>
    <row r="307" spans="1:13" s="330" customFormat="1" ht="12.75" customHeight="1" x14ac:dyDescent="0.4">
      <c r="A307" s="239">
        <v>8901</v>
      </c>
      <c r="B307" s="331" t="s">
        <v>566</v>
      </c>
      <c r="C307" s="122">
        <f>SUM(C308:C311)</f>
        <v>-605212.92000000004</v>
      </c>
      <c r="D307" s="122">
        <f>SUM(D308:D311)</f>
        <v>-605212.92000000004</v>
      </c>
      <c r="E307" s="122">
        <v>3497508.89</v>
      </c>
      <c r="F307" s="127">
        <f>SUM(E308:E311)</f>
        <v>3497508.8899999997</v>
      </c>
      <c r="G307" s="120">
        <f t="shared" si="101"/>
        <v>-577.89726134729574</v>
      </c>
      <c r="H307" s="121">
        <f t="shared" si="102"/>
        <v>-577.89726134729574</v>
      </c>
      <c r="I307" s="120">
        <f>E307/J307*100</f>
        <v>-341.15760984035143</v>
      </c>
      <c r="J307" s="6">
        <v>-1025188.59</v>
      </c>
    </row>
    <row r="308" spans="1:13" s="328" customFormat="1" ht="12.75" customHeight="1" x14ac:dyDescent="0.35">
      <c r="A308" s="307"/>
      <c r="B308" s="329" t="s">
        <v>565</v>
      </c>
      <c r="C308" s="127">
        <v>-605212.92000000004</v>
      </c>
      <c r="D308" s="127">
        <v>-605212.92000000004</v>
      </c>
      <c r="E308" s="127">
        <v>-605212.92000000004</v>
      </c>
      <c r="F308" s="127"/>
      <c r="G308" s="126">
        <f t="shared" si="101"/>
        <v>100</v>
      </c>
      <c r="H308" s="130">
        <f t="shared" si="102"/>
        <v>100</v>
      </c>
      <c r="I308" s="126">
        <f t="shared" ref="I308:I309" si="103">E308/J308*100</f>
        <v>100</v>
      </c>
      <c r="J308" s="6">
        <v>-605212.92000000004</v>
      </c>
    </row>
    <row r="309" spans="1:13" ht="12.75" customHeight="1" x14ac:dyDescent="0.2">
      <c r="A309" s="237"/>
      <c r="B309" s="237" t="s">
        <v>564</v>
      </c>
      <c r="C309" s="126">
        <v>0</v>
      </c>
      <c r="D309" s="126">
        <v>0</v>
      </c>
      <c r="E309" s="130">
        <f>5340168.11-10126865.96+5470795.66</f>
        <v>684097.80999999959</v>
      </c>
      <c r="F309" s="130"/>
      <c r="G309" s="126">
        <v>0</v>
      </c>
      <c r="H309" s="130">
        <v>0</v>
      </c>
      <c r="I309" s="126">
        <f t="shared" si="103"/>
        <v>-162.88986692967228</v>
      </c>
      <c r="J309" s="6">
        <v>-419975.67</v>
      </c>
    </row>
    <row r="310" spans="1:13" ht="12.75" customHeight="1" x14ac:dyDescent="0.2">
      <c r="A310" s="237"/>
      <c r="B310" s="237" t="s">
        <v>966</v>
      </c>
      <c r="C310" s="126">
        <v>0</v>
      </c>
      <c r="D310" s="126">
        <v>0</v>
      </c>
      <c r="E310" s="130">
        <v>3197274</v>
      </c>
      <c r="F310" s="130"/>
      <c r="G310" s="126">
        <v>0</v>
      </c>
      <c r="H310" s="130">
        <v>0</v>
      </c>
      <c r="I310" s="126">
        <v>0</v>
      </c>
      <c r="J310" s="6">
        <v>0</v>
      </c>
    </row>
    <row r="311" spans="1:13" ht="12.75" customHeight="1" x14ac:dyDescent="0.2">
      <c r="A311" s="237"/>
      <c r="B311" s="237" t="s">
        <v>1084</v>
      </c>
      <c r="C311" s="126">
        <v>0</v>
      </c>
      <c r="D311" s="126">
        <v>0</v>
      </c>
      <c r="E311" s="130">
        <v>221350</v>
      </c>
      <c r="F311" s="130"/>
      <c r="G311" s="126">
        <v>0</v>
      </c>
      <c r="H311" s="130">
        <v>0</v>
      </c>
      <c r="I311" s="126">
        <v>0</v>
      </c>
      <c r="J311" s="6">
        <v>0</v>
      </c>
    </row>
    <row r="312" spans="1:13" ht="12.75" customHeight="1" thickBot="1" x14ac:dyDescent="0.25">
      <c r="A312" s="327"/>
      <c r="B312" s="327"/>
      <c r="C312" s="326"/>
      <c r="D312" s="326"/>
      <c r="E312" s="486"/>
      <c r="F312" s="151"/>
      <c r="G312" s="486"/>
      <c r="H312" s="486"/>
      <c r="I312" s="486"/>
      <c r="J312" s="6"/>
    </row>
    <row r="313" spans="1:13" s="322" customFormat="1" ht="24" customHeight="1" thickBot="1" x14ac:dyDescent="0.45">
      <c r="A313" s="325"/>
      <c r="B313" s="324" t="s">
        <v>563</v>
      </c>
      <c r="C313" s="588">
        <f>SUM(C301+C303)</f>
        <v>902306516.75349998</v>
      </c>
      <c r="D313" s="588">
        <f>SUM(D301+D303)</f>
        <v>880179221.35350001</v>
      </c>
      <c r="E313" s="571">
        <v>692398347.57000005</v>
      </c>
      <c r="F313" s="511">
        <f>SUM(E301,E303)</f>
        <v>692398347.57000005</v>
      </c>
      <c r="G313" s="586">
        <f>E313/C313*100</f>
        <v>76.736489730923168</v>
      </c>
      <c r="H313" s="586">
        <f>E313/D313*100</f>
        <v>78.665609318209192</v>
      </c>
      <c r="I313" s="586">
        <f>E313/J313*100</f>
        <v>101.96661325810406</v>
      </c>
      <c r="J313" s="6">
        <v>679044174.79999995</v>
      </c>
      <c r="L313" s="756"/>
      <c r="M313" s="756"/>
    </row>
    <row r="314" spans="1:13" s="17" customFormat="1" ht="27" thickBot="1" x14ac:dyDescent="0.45">
      <c r="A314" s="321"/>
      <c r="B314" s="320"/>
      <c r="C314" s="319"/>
      <c r="D314" s="319"/>
      <c r="E314" s="389"/>
      <c r="F314" s="317"/>
      <c r="G314" s="389"/>
      <c r="H314" s="389"/>
      <c r="I314" s="389"/>
      <c r="J314" s="6"/>
    </row>
    <row r="315" spans="1:13" s="3" customFormat="1" ht="21" thickBot="1" x14ac:dyDescent="0.35">
      <c r="A315" s="318"/>
      <c r="B315" s="139" t="s">
        <v>562</v>
      </c>
      <c r="C315" s="317"/>
      <c r="D315" s="317"/>
      <c r="E315" s="317"/>
      <c r="F315" s="317"/>
      <c r="G315" s="317"/>
      <c r="H315" s="317"/>
      <c r="I315" s="317"/>
      <c r="J315" s="6"/>
    </row>
    <row r="316" spans="1:13" ht="21" thickBot="1" x14ac:dyDescent="0.35">
      <c r="A316" s="316"/>
      <c r="B316" s="139" t="s">
        <v>561</v>
      </c>
      <c r="C316" s="457">
        <f>C317+C330+C350+C356</f>
        <v>47057788.329999998</v>
      </c>
      <c r="D316" s="457">
        <f>D317+D330+D350+D356</f>
        <v>51591620.950000003</v>
      </c>
      <c r="E316" s="575">
        <v>44927714.149999999</v>
      </c>
      <c r="F316" s="705">
        <f>SUM(E317,E330,E350,E356)</f>
        <v>44927714.149999999</v>
      </c>
      <c r="G316" s="571">
        <f>E316/C316*100</f>
        <v>95.473492793451058</v>
      </c>
      <c r="H316" s="571">
        <f>E316/D316*100</f>
        <v>87.083354472505675</v>
      </c>
      <c r="I316" s="571">
        <f>E316/J316*100</f>
        <v>103.6527749452377</v>
      </c>
      <c r="J316" s="6">
        <v>43344439.329999998</v>
      </c>
    </row>
    <row r="317" spans="1:13" ht="16.5" thickBot="1" x14ac:dyDescent="0.25">
      <c r="A317" s="226"/>
      <c r="B317" s="226" t="s">
        <v>560</v>
      </c>
      <c r="C317" s="314">
        <f>SUM(C318+C322+C327)</f>
        <v>1985000</v>
      </c>
      <c r="D317" s="314">
        <f>SUM(D318+D322+D327)</f>
        <v>1985000</v>
      </c>
      <c r="E317" s="312">
        <v>1070458.81</v>
      </c>
      <c r="F317" s="705">
        <f>SUM(E318,E322,E327)</f>
        <v>1070458.81</v>
      </c>
      <c r="G317" s="479">
        <f>E317/D317*100</f>
        <v>53.927395969773308</v>
      </c>
      <c r="H317" s="479">
        <f>E317/D317*100</f>
        <v>53.927395969773308</v>
      </c>
      <c r="I317" s="583">
        <f>E317/J317*100</f>
        <v>57.607357756000688</v>
      </c>
      <c r="J317" s="6">
        <v>1858198.07</v>
      </c>
    </row>
    <row r="318" spans="1:13" x14ac:dyDescent="0.2">
      <c r="A318" s="224">
        <v>2310</v>
      </c>
      <c r="B318" s="224" t="s">
        <v>559</v>
      </c>
      <c r="C318" s="217">
        <f>SUM(C319:C321)</f>
        <v>265000</v>
      </c>
      <c r="D318" s="217">
        <f>SUM(D319:D321)</f>
        <v>265000</v>
      </c>
      <c r="E318" s="313">
        <v>0</v>
      </c>
      <c r="F318" s="514">
        <f>SUM(E319:E321)</f>
        <v>0</v>
      </c>
      <c r="G318" s="120">
        <f>E318/C318*100</f>
        <v>0</v>
      </c>
      <c r="H318" s="120">
        <f t="shared" ref="H318:H331" si="104">E318/D318*100</f>
        <v>0</v>
      </c>
      <c r="I318" s="120">
        <v>0</v>
      </c>
      <c r="J318" s="6">
        <v>314957.55</v>
      </c>
    </row>
    <row r="319" spans="1:13" x14ac:dyDescent="0.2">
      <c r="A319" s="293" t="s">
        <v>558</v>
      </c>
      <c r="B319" s="155" t="s">
        <v>557</v>
      </c>
      <c r="C319" s="126">
        <v>15000</v>
      </c>
      <c r="D319" s="126">
        <v>15000</v>
      </c>
      <c r="E319" s="127">
        <v>0</v>
      </c>
      <c r="F319" s="127"/>
      <c r="G319" s="126">
        <f t="shared" ref="G319:G329" si="105">E319/C319*100</f>
        <v>0</v>
      </c>
      <c r="H319" s="126">
        <f t="shared" si="104"/>
        <v>0</v>
      </c>
      <c r="I319" s="126">
        <v>0</v>
      </c>
      <c r="J319" s="6">
        <v>0</v>
      </c>
    </row>
    <row r="320" spans="1:13" x14ac:dyDescent="0.2">
      <c r="A320" s="293" t="s">
        <v>556</v>
      </c>
      <c r="B320" s="155" t="s">
        <v>555</v>
      </c>
      <c r="C320" s="126">
        <v>150000</v>
      </c>
      <c r="D320" s="126">
        <v>150000</v>
      </c>
      <c r="E320" s="127">
        <v>0</v>
      </c>
      <c r="F320" s="127"/>
      <c r="G320" s="126">
        <f t="shared" si="105"/>
        <v>0</v>
      </c>
      <c r="H320" s="126">
        <f t="shared" si="104"/>
        <v>0</v>
      </c>
      <c r="I320" s="126">
        <v>0</v>
      </c>
      <c r="J320" s="6">
        <v>197230</v>
      </c>
    </row>
    <row r="321" spans="1:10" x14ac:dyDescent="0.2">
      <c r="A321" s="293" t="s">
        <v>554</v>
      </c>
      <c r="B321" s="155" t="s">
        <v>553</v>
      </c>
      <c r="C321" s="126">
        <v>100000</v>
      </c>
      <c r="D321" s="126">
        <v>100000</v>
      </c>
      <c r="E321" s="127">
        <v>0</v>
      </c>
      <c r="F321" s="127"/>
      <c r="G321" s="126">
        <f t="shared" si="105"/>
        <v>0</v>
      </c>
      <c r="H321" s="126">
        <f t="shared" si="104"/>
        <v>0</v>
      </c>
      <c r="I321" s="126">
        <v>0</v>
      </c>
      <c r="J321" s="6">
        <v>117724.55</v>
      </c>
    </row>
    <row r="322" spans="1:10" x14ac:dyDescent="0.2">
      <c r="A322" s="123">
        <v>2321</v>
      </c>
      <c r="B322" s="123" t="s">
        <v>552</v>
      </c>
      <c r="C322" s="122">
        <f>SUM(C323:C326)</f>
        <v>1470000</v>
      </c>
      <c r="D322" s="122">
        <f>SUM(D323:D326)</f>
        <v>1470000</v>
      </c>
      <c r="E322" s="122">
        <v>1010218.58</v>
      </c>
      <c r="F322" s="127">
        <f>SUM(E323:E326)</f>
        <v>1010218.5800000001</v>
      </c>
      <c r="G322" s="120">
        <f t="shared" si="105"/>
        <v>68.722352380952373</v>
      </c>
      <c r="H322" s="120">
        <f t="shared" si="104"/>
        <v>68.722352380952373</v>
      </c>
      <c r="I322" s="120">
        <f t="shared" ref="I322:I325" si="106">E322/J322*100</f>
        <v>65.46073687709378</v>
      </c>
      <c r="J322" s="6">
        <v>1543243.52</v>
      </c>
    </row>
    <row r="323" spans="1:10" x14ac:dyDescent="0.2">
      <c r="A323" s="293" t="s">
        <v>551</v>
      </c>
      <c r="B323" s="155" t="s">
        <v>550</v>
      </c>
      <c r="C323" s="126">
        <v>170000</v>
      </c>
      <c r="D323" s="126">
        <f>170000+15000</f>
        <v>185000</v>
      </c>
      <c r="E323" s="133">
        <v>184903.04000000001</v>
      </c>
      <c r="F323" s="133"/>
      <c r="G323" s="126">
        <f t="shared" si="105"/>
        <v>108.76649411764707</v>
      </c>
      <c r="H323" s="126">
        <f t="shared" si="104"/>
        <v>99.947589189189188</v>
      </c>
      <c r="I323" s="126">
        <f t="shared" si="106"/>
        <v>104.69902328572185</v>
      </c>
      <c r="J323" s="6">
        <v>176604.36</v>
      </c>
    </row>
    <row r="324" spans="1:10" x14ac:dyDescent="0.2">
      <c r="A324" s="293" t="s">
        <v>549</v>
      </c>
      <c r="B324" s="155" t="s">
        <v>548</v>
      </c>
      <c r="C324" s="126">
        <v>500000</v>
      </c>
      <c r="D324" s="126">
        <v>500000</v>
      </c>
      <c r="E324" s="130">
        <v>395598.62</v>
      </c>
      <c r="F324" s="130"/>
      <c r="G324" s="126">
        <f t="shared" si="105"/>
        <v>79.119724000000005</v>
      </c>
      <c r="H324" s="126">
        <f t="shared" si="104"/>
        <v>79.119724000000005</v>
      </c>
      <c r="I324" s="126">
        <f t="shared" si="106"/>
        <v>55.916643203079332</v>
      </c>
      <c r="J324" s="6">
        <v>707479.2</v>
      </c>
    </row>
    <row r="325" spans="1:10" x14ac:dyDescent="0.2">
      <c r="A325" s="293" t="s">
        <v>547</v>
      </c>
      <c r="B325" s="155" t="s">
        <v>541</v>
      </c>
      <c r="C325" s="126">
        <v>500000</v>
      </c>
      <c r="D325" s="126">
        <f>500000-15000</f>
        <v>485000</v>
      </c>
      <c r="E325" s="130">
        <v>429716.92</v>
      </c>
      <c r="F325" s="130"/>
      <c r="G325" s="126">
        <f t="shared" si="105"/>
        <v>85.943383999999995</v>
      </c>
      <c r="H325" s="126">
        <f t="shared" si="104"/>
        <v>88.601426804123705</v>
      </c>
      <c r="I325" s="126">
        <f t="shared" si="106"/>
        <v>65.191599319837323</v>
      </c>
      <c r="J325" s="6">
        <v>659159.96</v>
      </c>
    </row>
    <row r="326" spans="1:10" s="2" customFormat="1" ht="24.75" x14ac:dyDescent="0.2">
      <c r="A326" s="293" t="s">
        <v>547</v>
      </c>
      <c r="B326" s="166" t="s">
        <v>546</v>
      </c>
      <c r="C326" s="126">
        <v>300000</v>
      </c>
      <c r="D326" s="126">
        <v>300000</v>
      </c>
      <c r="E326" s="126">
        <v>0</v>
      </c>
      <c r="F326" s="126"/>
      <c r="G326" s="126">
        <f t="shared" si="105"/>
        <v>0</v>
      </c>
      <c r="H326" s="126">
        <f t="shared" si="104"/>
        <v>0</v>
      </c>
      <c r="I326" s="126">
        <v>0</v>
      </c>
      <c r="J326" s="6">
        <v>0</v>
      </c>
    </row>
    <row r="327" spans="1:10" x14ac:dyDescent="0.2">
      <c r="A327" s="123">
        <v>2333</v>
      </c>
      <c r="B327" s="123" t="s">
        <v>545</v>
      </c>
      <c r="C327" s="122">
        <f>SUM(C328:C329)</f>
        <v>250000</v>
      </c>
      <c r="D327" s="122">
        <f>SUM(D328:D329)</f>
        <v>250000</v>
      </c>
      <c r="E327" s="136">
        <v>60240.23</v>
      </c>
      <c r="F327" s="133">
        <f>SUM(E328:E329)</f>
        <v>60240.23</v>
      </c>
      <c r="G327" s="120">
        <f t="shared" si="105"/>
        <v>24.096092000000002</v>
      </c>
      <c r="H327" s="120">
        <f t="shared" si="104"/>
        <v>24.096092000000002</v>
      </c>
      <c r="I327" s="120">
        <v>0</v>
      </c>
      <c r="J327" s="6">
        <v>0</v>
      </c>
    </row>
    <row r="328" spans="1:10" x14ac:dyDescent="0.2">
      <c r="A328" s="293" t="s">
        <v>544</v>
      </c>
      <c r="B328" s="155" t="s">
        <v>1046</v>
      </c>
      <c r="C328" s="126">
        <v>100000</v>
      </c>
      <c r="D328" s="126">
        <v>100000</v>
      </c>
      <c r="E328" s="130">
        <v>0</v>
      </c>
      <c r="F328" s="130"/>
      <c r="G328" s="126">
        <f t="shared" si="105"/>
        <v>0</v>
      </c>
      <c r="H328" s="126">
        <f t="shared" si="104"/>
        <v>0</v>
      </c>
      <c r="I328" s="126">
        <v>0</v>
      </c>
      <c r="J328" s="14">
        <v>0</v>
      </c>
    </row>
    <row r="329" spans="1:10" ht="13.5" thickBot="1" x14ac:dyDescent="0.25">
      <c r="A329" s="293" t="s">
        <v>542</v>
      </c>
      <c r="B329" s="155" t="s">
        <v>541</v>
      </c>
      <c r="C329" s="126">
        <v>150000</v>
      </c>
      <c r="D329" s="126">
        <v>150000</v>
      </c>
      <c r="E329" s="152">
        <v>60240.23</v>
      </c>
      <c r="F329" s="152"/>
      <c r="G329" s="126">
        <f t="shared" si="105"/>
        <v>40.160153333333341</v>
      </c>
      <c r="H329" s="151">
        <f t="shared" si="104"/>
        <v>40.160153333333341</v>
      </c>
      <c r="I329" s="151">
        <v>0</v>
      </c>
      <c r="J329" s="14">
        <v>0</v>
      </c>
    </row>
    <row r="330" spans="1:10" s="3" customFormat="1" ht="16.5" thickBot="1" x14ac:dyDescent="0.3">
      <c r="A330" s="158"/>
      <c r="B330" s="158" t="s">
        <v>540</v>
      </c>
      <c r="C330" s="312">
        <f>SUM(C331+C342+C347)</f>
        <v>27050000</v>
      </c>
      <c r="D330" s="312">
        <f>SUM(D331+D342+D347)</f>
        <v>32279572.620000001</v>
      </c>
      <c r="E330" s="312">
        <v>30319437.59</v>
      </c>
      <c r="F330" s="705">
        <f>SUM(E331,E342,E347)</f>
        <v>30319437.59</v>
      </c>
      <c r="G330" s="479">
        <f>E330/C330*100</f>
        <v>112.08664543438078</v>
      </c>
      <c r="H330" s="479">
        <f t="shared" si="104"/>
        <v>93.927630166994447</v>
      </c>
      <c r="I330" s="479">
        <f>E330/J330*100</f>
        <v>127.32322895334683</v>
      </c>
      <c r="J330" s="14">
        <v>23812966.289999999</v>
      </c>
    </row>
    <row r="331" spans="1:10" s="3" customFormat="1" x14ac:dyDescent="0.2">
      <c r="A331" s="118">
        <v>2212</v>
      </c>
      <c r="B331" s="311" t="s">
        <v>539</v>
      </c>
      <c r="C331" s="217">
        <f>SUM(C332,C338:C341)</f>
        <v>26600000</v>
      </c>
      <c r="D331" s="217">
        <f>SUM(D332,D338:D341)</f>
        <v>29240445.920000002</v>
      </c>
      <c r="E331" s="591">
        <v>27540800.25</v>
      </c>
      <c r="F331" s="46">
        <f>SUM(E332,E338:E341)</f>
        <v>27540800.25</v>
      </c>
      <c r="G331" s="120">
        <f>E331/C331*100</f>
        <v>103.53684304511279</v>
      </c>
      <c r="H331" s="486">
        <f t="shared" si="104"/>
        <v>94.187346955480351</v>
      </c>
      <c r="I331" s="121">
        <f t="shared" ref="I331:I342" si="107">E331/J331*100</f>
        <v>116.34146852154174</v>
      </c>
      <c r="J331" s="6">
        <v>23672384.920000002</v>
      </c>
    </row>
    <row r="332" spans="1:10" s="2" customFormat="1" x14ac:dyDescent="0.2">
      <c r="A332" s="131"/>
      <c r="B332" s="310" t="s">
        <v>538</v>
      </c>
      <c r="C332" s="127">
        <f>SUM(C333:C337)</f>
        <v>2400000</v>
      </c>
      <c r="D332" s="127">
        <f>SUM(D333:D337)</f>
        <v>4959182.92</v>
      </c>
      <c r="E332" s="130">
        <v>4959182.92</v>
      </c>
      <c r="F332" s="130">
        <f>SUM(E333:E337)</f>
        <v>4959182.92</v>
      </c>
      <c r="G332" s="126">
        <f t="shared" ref="G332:G349" si="108">E332/C332*100</f>
        <v>206.63262166666664</v>
      </c>
      <c r="H332" s="130">
        <f>E332/D332*100</f>
        <v>100</v>
      </c>
      <c r="I332" s="130">
        <v>0</v>
      </c>
      <c r="J332" s="14">
        <v>2347795.5</v>
      </c>
    </row>
    <row r="333" spans="1:10" s="3" customFormat="1" x14ac:dyDescent="0.2">
      <c r="A333" s="293" t="s">
        <v>536</v>
      </c>
      <c r="B333" s="309" t="s">
        <v>537</v>
      </c>
      <c r="C333" s="126">
        <v>2200000</v>
      </c>
      <c r="D333" s="126">
        <f>2200000-2200000</f>
        <v>0</v>
      </c>
      <c r="E333" s="126">
        <v>0</v>
      </c>
      <c r="F333" s="126"/>
      <c r="G333" s="126">
        <f t="shared" si="108"/>
        <v>0</v>
      </c>
      <c r="H333" s="126">
        <v>0</v>
      </c>
      <c r="I333" s="126">
        <v>0</v>
      </c>
      <c r="J333" s="14">
        <v>0</v>
      </c>
    </row>
    <row r="334" spans="1:10" s="3" customFormat="1" x14ac:dyDescent="0.2">
      <c r="A334" s="293" t="s">
        <v>536</v>
      </c>
      <c r="B334" s="309" t="s">
        <v>535</v>
      </c>
      <c r="C334" s="126">
        <v>200000</v>
      </c>
      <c r="D334" s="126">
        <f>200000-200000</f>
        <v>0</v>
      </c>
      <c r="E334" s="297">
        <v>0</v>
      </c>
      <c r="F334" s="130"/>
      <c r="G334" s="126">
        <f t="shared" ref="G334" si="109">E334/C334*100</f>
        <v>0</v>
      </c>
      <c r="H334" s="126">
        <v>0</v>
      </c>
      <c r="I334" s="126">
        <v>0</v>
      </c>
      <c r="J334" s="14">
        <v>0</v>
      </c>
    </row>
    <row r="335" spans="1:10" s="3" customFormat="1" x14ac:dyDescent="0.2">
      <c r="A335" s="293" t="s">
        <v>536</v>
      </c>
      <c r="B335" s="309" t="s">
        <v>988</v>
      </c>
      <c r="C335" s="126">
        <v>0</v>
      </c>
      <c r="D335" s="126">
        <f>1000000</f>
        <v>1000000</v>
      </c>
      <c r="E335" s="297">
        <v>1000000</v>
      </c>
      <c r="F335" s="130"/>
      <c r="G335" s="126">
        <v>0</v>
      </c>
      <c r="H335" s="126">
        <f t="shared" ref="H335:H336" si="110">E335/D335*100</f>
        <v>100</v>
      </c>
      <c r="I335" s="126">
        <v>0</v>
      </c>
      <c r="J335" s="14">
        <v>0</v>
      </c>
    </row>
    <row r="336" spans="1:10" s="3" customFormat="1" x14ac:dyDescent="0.2">
      <c r="A336" s="293" t="s">
        <v>1013</v>
      </c>
      <c r="B336" s="309" t="s">
        <v>1014</v>
      </c>
      <c r="C336" s="126">
        <v>0</v>
      </c>
      <c r="D336" s="126">
        <v>53240</v>
      </c>
      <c r="E336" s="297">
        <v>53240</v>
      </c>
      <c r="F336" s="130"/>
      <c r="G336" s="126">
        <v>0</v>
      </c>
      <c r="H336" s="126">
        <f t="shared" si="110"/>
        <v>100</v>
      </c>
      <c r="I336" s="126">
        <v>0</v>
      </c>
      <c r="J336" s="14">
        <v>0</v>
      </c>
    </row>
    <row r="337" spans="1:10" s="3" customFormat="1" x14ac:dyDescent="0.2">
      <c r="A337" s="293" t="s">
        <v>1013</v>
      </c>
      <c r="B337" s="309" t="s">
        <v>1026</v>
      </c>
      <c r="C337" s="126">
        <v>0</v>
      </c>
      <c r="D337" s="126">
        <v>3905942.92</v>
      </c>
      <c r="E337" s="297">
        <v>3905942.92</v>
      </c>
      <c r="F337" s="130"/>
      <c r="G337" s="126">
        <v>0</v>
      </c>
      <c r="H337" s="126">
        <f t="shared" ref="H337:H390" si="111">E337/D337*100</f>
        <v>100</v>
      </c>
      <c r="I337" s="126">
        <v>0</v>
      </c>
      <c r="J337" s="14">
        <v>0</v>
      </c>
    </row>
    <row r="338" spans="1:10" s="3" customFormat="1" x14ac:dyDescent="0.2">
      <c r="A338" s="293" t="s">
        <v>533</v>
      </c>
      <c r="B338" s="237" t="s">
        <v>534</v>
      </c>
      <c r="C338" s="126">
        <v>3500000</v>
      </c>
      <c r="D338" s="126">
        <f>3500000+42500-200000</f>
        <v>3342500</v>
      </c>
      <c r="E338" s="297">
        <v>3342500</v>
      </c>
      <c r="F338" s="130"/>
      <c r="G338" s="126">
        <f t="shared" si="108"/>
        <v>95.5</v>
      </c>
      <c r="H338" s="126">
        <f t="shared" si="111"/>
        <v>100</v>
      </c>
      <c r="I338" s="126">
        <f t="shared" si="107"/>
        <v>95.190630451034139</v>
      </c>
      <c r="J338" s="14">
        <v>3511375</v>
      </c>
    </row>
    <row r="339" spans="1:10" s="3" customFormat="1" x14ac:dyDescent="0.2">
      <c r="A339" s="293" t="s">
        <v>533</v>
      </c>
      <c r="B339" s="237" t="s">
        <v>532</v>
      </c>
      <c r="C339" s="126">
        <v>18200000</v>
      </c>
      <c r="D339" s="126">
        <f>18200000+87350+200000</f>
        <v>18487350</v>
      </c>
      <c r="E339" s="297">
        <v>18487350</v>
      </c>
      <c r="F339" s="130"/>
      <c r="G339" s="126">
        <f t="shared" si="108"/>
        <v>101.57884615384616</v>
      </c>
      <c r="H339" s="126">
        <f t="shared" si="111"/>
        <v>100</v>
      </c>
      <c r="I339" s="126">
        <f t="shared" si="107"/>
        <v>107.04582959381605</v>
      </c>
      <c r="J339" s="14">
        <v>17270500</v>
      </c>
    </row>
    <row r="340" spans="1:10" s="3" customFormat="1" x14ac:dyDescent="0.2">
      <c r="A340" s="293" t="s">
        <v>463</v>
      </c>
      <c r="B340" s="237" t="s">
        <v>531</v>
      </c>
      <c r="C340" s="126">
        <v>500000</v>
      </c>
      <c r="D340" s="126">
        <f>500000+2640+2013+127050+100000</f>
        <v>731703</v>
      </c>
      <c r="E340" s="196">
        <v>727081.83</v>
      </c>
      <c r="F340" s="127"/>
      <c r="G340" s="126">
        <f t="shared" si="108"/>
        <v>145.41636599999998</v>
      </c>
      <c r="H340" s="126">
        <f t="shared" si="111"/>
        <v>99.3684363737746</v>
      </c>
      <c r="I340" s="126">
        <f t="shared" si="107"/>
        <v>220.31753243530255</v>
      </c>
      <c r="J340" s="14">
        <v>330015.42</v>
      </c>
    </row>
    <row r="341" spans="1:10" s="3" customFormat="1" x14ac:dyDescent="0.2">
      <c r="A341" s="293" t="s">
        <v>857</v>
      </c>
      <c r="B341" s="237" t="s">
        <v>858</v>
      </c>
      <c r="C341" s="126">
        <f>500000+1500000</f>
        <v>2000000</v>
      </c>
      <c r="D341" s="126">
        <f>500000+1500000-53240-127050-100000</f>
        <v>1719710</v>
      </c>
      <c r="E341" s="485">
        <v>24685.5</v>
      </c>
      <c r="F341" s="127"/>
      <c r="G341" s="126">
        <f t="shared" si="108"/>
        <v>1.234275</v>
      </c>
      <c r="H341" s="126">
        <f t="shared" si="111"/>
        <v>1.4354455111617657</v>
      </c>
      <c r="I341" s="126">
        <f t="shared" si="107"/>
        <v>11.605837357016254</v>
      </c>
      <c r="J341" s="14">
        <v>212699</v>
      </c>
    </row>
    <row r="342" spans="1:10" s="3" customFormat="1" x14ac:dyDescent="0.2">
      <c r="A342" s="123">
        <v>2219</v>
      </c>
      <c r="B342" s="123" t="s">
        <v>530</v>
      </c>
      <c r="C342" s="122">
        <f>SUM(C343:C346)</f>
        <v>300000</v>
      </c>
      <c r="D342" s="122">
        <f>SUM(D343:D346)</f>
        <v>2889126.7</v>
      </c>
      <c r="E342" s="121">
        <v>2774505.68</v>
      </c>
      <c r="F342" s="130">
        <f>SUM(E343:E346)</f>
        <v>2774505.6799999997</v>
      </c>
      <c r="G342" s="120">
        <f t="shared" si="108"/>
        <v>924.83522666666681</v>
      </c>
      <c r="H342" s="120">
        <f t="shared" si="111"/>
        <v>96.032675894760871</v>
      </c>
      <c r="I342" s="120">
        <f t="shared" si="107"/>
        <v>2626.1042653543968</v>
      </c>
      <c r="J342" s="14">
        <v>105651.01</v>
      </c>
    </row>
    <row r="343" spans="1:10" s="3" customFormat="1" x14ac:dyDescent="0.2">
      <c r="A343" s="293" t="s">
        <v>536</v>
      </c>
      <c r="B343" s="309" t="s">
        <v>1008</v>
      </c>
      <c r="C343" s="126">
        <v>0</v>
      </c>
      <c r="D343" s="126">
        <f>2200000-766001.8+(766001.8-695005.27)-70996.53</f>
        <v>1433998.2</v>
      </c>
      <c r="E343" s="126">
        <v>1433998.2</v>
      </c>
      <c r="F343" s="126"/>
      <c r="G343" s="126">
        <v>0</v>
      </c>
      <c r="H343" s="126">
        <f t="shared" ref="H343" si="112">E343/D343*100</f>
        <v>100</v>
      </c>
      <c r="I343" s="126">
        <v>0</v>
      </c>
      <c r="J343" s="14">
        <v>0</v>
      </c>
    </row>
    <row r="344" spans="1:10" s="3" customFormat="1" x14ac:dyDescent="0.2">
      <c r="A344" s="293" t="s">
        <v>434</v>
      </c>
      <c r="B344" s="237" t="s">
        <v>529</v>
      </c>
      <c r="C344" s="126">
        <v>100000</v>
      </c>
      <c r="D344" s="126">
        <v>100000</v>
      </c>
      <c r="E344" s="130">
        <v>1274</v>
      </c>
      <c r="F344" s="130"/>
      <c r="G344" s="126">
        <f t="shared" si="108"/>
        <v>1.274</v>
      </c>
      <c r="H344" s="126">
        <f t="shared" si="111"/>
        <v>1.274</v>
      </c>
      <c r="I344" s="126">
        <v>0</v>
      </c>
      <c r="J344" s="201">
        <v>0</v>
      </c>
    </row>
    <row r="345" spans="1:10" s="3" customFormat="1" x14ac:dyDescent="0.2">
      <c r="A345" s="293" t="s">
        <v>433</v>
      </c>
      <c r="B345" s="237" t="s">
        <v>528</v>
      </c>
      <c r="C345" s="126">
        <v>200000</v>
      </c>
      <c r="D345" s="126">
        <v>200000</v>
      </c>
      <c r="E345" s="130">
        <v>184104.98</v>
      </c>
      <c r="F345" s="130"/>
      <c r="G345" s="126">
        <f t="shared" si="108"/>
        <v>92.052490000000006</v>
      </c>
      <c r="H345" s="126">
        <f t="shared" si="111"/>
        <v>92.052490000000006</v>
      </c>
      <c r="I345" s="117">
        <f t="shared" ref="I345:I352" si="113">E345/J345*100</f>
        <v>179.35038340100112</v>
      </c>
      <c r="J345" s="201">
        <v>102651.01</v>
      </c>
    </row>
    <row r="346" spans="1:10" s="3" customFormat="1" x14ac:dyDescent="0.2">
      <c r="A346" s="293" t="s">
        <v>912</v>
      </c>
      <c r="B346" s="237" t="s">
        <v>913</v>
      </c>
      <c r="C346" s="126">
        <v>0</v>
      </c>
      <c r="D346" s="126">
        <v>1155128.5</v>
      </c>
      <c r="E346" s="130">
        <v>1155128.5</v>
      </c>
      <c r="F346" s="130"/>
      <c r="G346" s="126">
        <v>0</v>
      </c>
      <c r="H346" s="126">
        <f t="shared" si="111"/>
        <v>100</v>
      </c>
      <c r="I346" s="126">
        <v>0</v>
      </c>
      <c r="J346" s="14">
        <v>0</v>
      </c>
    </row>
    <row r="347" spans="1:10" x14ac:dyDescent="0.2">
      <c r="A347" s="123">
        <v>2221</v>
      </c>
      <c r="B347" s="180" t="s">
        <v>527</v>
      </c>
      <c r="C347" s="136">
        <f>SUM(C348:C349)</f>
        <v>150000</v>
      </c>
      <c r="D347" s="136">
        <f>SUM(D348:D349)</f>
        <v>150000</v>
      </c>
      <c r="E347" s="486">
        <v>4131.66</v>
      </c>
      <c r="F347" s="151">
        <f>SUM(E348:E349)</f>
        <v>4131.66</v>
      </c>
      <c r="G347" s="120">
        <f t="shared" si="108"/>
        <v>2.7544400000000002</v>
      </c>
      <c r="H347" s="120">
        <f t="shared" si="111"/>
        <v>2.7544400000000002</v>
      </c>
      <c r="I347" s="120">
        <f t="shared" si="113"/>
        <v>11.727555437980195</v>
      </c>
      <c r="J347" s="14">
        <v>35230.36</v>
      </c>
    </row>
    <row r="348" spans="1:10" x14ac:dyDescent="0.2">
      <c r="A348" s="288" t="s">
        <v>526</v>
      </c>
      <c r="B348" s="307" t="s">
        <v>525</v>
      </c>
      <c r="C348" s="126">
        <v>60000</v>
      </c>
      <c r="D348" s="126">
        <v>60000</v>
      </c>
      <c r="E348" s="297">
        <v>325</v>
      </c>
      <c r="F348" s="130"/>
      <c r="G348" s="126">
        <f t="shared" si="108"/>
        <v>0.54166666666666674</v>
      </c>
      <c r="H348" s="126">
        <f t="shared" si="111"/>
        <v>0.54166666666666674</v>
      </c>
      <c r="I348" s="130">
        <v>0</v>
      </c>
      <c r="J348" s="14">
        <v>0</v>
      </c>
    </row>
    <row r="349" spans="1:10" ht="13.5" thickBot="1" x14ac:dyDescent="0.25">
      <c r="A349" s="306" t="s">
        <v>524</v>
      </c>
      <c r="B349" s="305" t="s">
        <v>523</v>
      </c>
      <c r="C349" s="126">
        <v>90000</v>
      </c>
      <c r="D349" s="126">
        <v>90000</v>
      </c>
      <c r="E349" s="302">
        <v>3806.66</v>
      </c>
      <c r="F349" s="117"/>
      <c r="G349" s="126">
        <f t="shared" si="108"/>
        <v>4.229622222222222</v>
      </c>
      <c r="H349" s="151">
        <f t="shared" si="111"/>
        <v>4.229622222222222</v>
      </c>
      <c r="I349" s="117">
        <f t="shared" si="113"/>
        <v>10.805055639510922</v>
      </c>
      <c r="J349" s="14">
        <v>35230.36</v>
      </c>
    </row>
    <row r="350" spans="1:10" ht="16.5" thickBot="1" x14ac:dyDescent="0.3">
      <c r="A350" s="158"/>
      <c r="B350" s="158" t="s">
        <v>522</v>
      </c>
      <c r="C350" s="157">
        <f>C351</f>
        <v>2334000</v>
      </c>
      <c r="D350" s="157">
        <f>D351</f>
        <v>2334000</v>
      </c>
      <c r="E350" s="312">
        <v>1588266</v>
      </c>
      <c r="F350" s="712"/>
      <c r="G350" s="479">
        <f>E350/C350*100</f>
        <v>68.049100257069412</v>
      </c>
      <c r="H350" s="479">
        <f t="shared" si="111"/>
        <v>68.049100257069412</v>
      </c>
      <c r="I350" s="479">
        <f t="shared" si="113"/>
        <v>30.180573688684149</v>
      </c>
      <c r="J350" s="14">
        <v>5262544.0999999996</v>
      </c>
    </row>
    <row r="351" spans="1:10" x14ac:dyDescent="0.2">
      <c r="A351" s="224">
        <v>3639</v>
      </c>
      <c r="B351" s="224" t="s">
        <v>521</v>
      </c>
      <c r="C351" s="217">
        <f>SUM(C352:C355)</f>
        <v>2334000</v>
      </c>
      <c r="D351" s="217">
        <f>SUM(D352:D355)</f>
        <v>2334000</v>
      </c>
      <c r="E351" s="539">
        <v>1588266</v>
      </c>
      <c r="F351" s="484">
        <f>SUM(E352:E355)</f>
        <v>1588266</v>
      </c>
      <c r="G351" s="120">
        <f>E351/C351*100</f>
        <v>68.049100257069412</v>
      </c>
      <c r="H351" s="486">
        <f t="shared" si="111"/>
        <v>68.049100257069412</v>
      </c>
      <c r="I351" s="486">
        <f t="shared" si="113"/>
        <v>30.180573688684149</v>
      </c>
      <c r="J351" s="14">
        <v>5262544.0999999996</v>
      </c>
    </row>
    <row r="352" spans="1:10" x14ac:dyDescent="0.2">
      <c r="A352" s="288" t="s">
        <v>520</v>
      </c>
      <c r="B352" s="304" t="s">
        <v>519</v>
      </c>
      <c r="C352" s="303">
        <v>1600000</v>
      </c>
      <c r="D352" s="303">
        <v>1600000</v>
      </c>
      <c r="E352" s="130">
        <v>1219021</v>
      </c>
      <c r="F352" s="130"/>
      <c r="G352" s="126">
        <f t="shared" ref="G352:G355" si="114">E352/C352*100</f>
        <v>76.188812499999997</v>
      </c>
      <c r="H352" s="130">
        <f t="shared" si="111"/>
        <v>76.188812499999997</v>
      </c>
      <c r="I352" s="117">
        <f t="shared" si="113"/>
        <v>24.963983060826493</v>
      </c>
      <c r="J352" s="14">
        <v>4883119</v>
      </c>
    </row>
    <row r="353" spans="1:10" x14ac:dyDescent="0.2">
      <c r="A353" s="288" t="s">
        <v>517</v>
      </c>
      <c r="B353" s="155" t="s">
        <v>518</v>
      </c>
      <c r="C353" s="126">
        <v>150000</v>
      </c>
      <c r="D353" s="126">
        <v>150000</v>
      </c>
      <c r="E353" s="126">
        <v>0</v>
      </c>
      <c r="F353" s="126"/>
      <c r="G353" s="126">
        <f t="shared" si="114"/>
        <v>0</v>
      </c>
      <c r="H353" s="126">
        <f t="shared" si="111"/>
        <v>0</v>
      </c>
      <c r="I353" s="126">
        <f t="shared" ref="I353:I355" si="115">E353/J353*100</f>
        <v>0</v>
      </c>
      <c r="J353" s="14">
        <v>1996.5</v>
      </c>
    </row>
    <row r="354" spans="1:10" x14ac:dyDescent="0.2">
      <c r="A354" s="287" t="s">
        <v>517</v>
      </c>
      <c r="B354" s="154" t="s">
        <v>516</v>
      </c>
      <c r="C354" s="126">
        <v>50000</v>
      </c>
      <c r="D354" s="126">
        <v>50000</v>
      </c>
      <c r="E354" s="130">
        <v>0</v>
      </c>
      <c r="F354" s="130"/>
      <c r="G354" s="126">
        <f t="shared" si="114"/>
        <v>0</v>
      </c>
      <c r="H354" s="126">
        <f t="shared" si="111"/>
        <v>0</v>
      </c>
      <c r="I354" s="126">
        <v>0</v>
      </c>
      <c r="J354" s="14">
        <v>5416.5</v>
      </c>
    </row>
    <row r="355" spans="1:10" ht="13.5" thickBot="1" x14ac:dyDescent="0.25">
      <c r="A355" s="301" t="s">
        <v>860</v>
      </c>
      <c r="B355" s="155" t="s">
        <v>859</v>
      </c>
      <c r="C355" s="126">
        <f>50000+10000+4000+50000+110000+250000+20000+40000</f>
        <v>534000</v>
      </c>
      <c r="D355" s="126">
        <f>50000+10000+4000+50000+110000+250000+20000+40000</f>
        <v>534000</v>
      </c>
      <c r="E355" s="130">
        <v>369245</v>
      </c>
      <c r="F355" s="130"/>
      <c r="G355" s="126">
        <f t="shared" si="114"/>
        <v>69.147003745318344</v>
      </c>
      <c r="H355" s="126">
        <f t="shared" si="111"/>
        <v>69.147003745318344</v>
      </c>
      <c r="I355" s="126">
        <f t="shared" si="115"/>
        <v>98.726339447809494</v>
      </c>
      <c r="J355" s="14">
        <v>374008.6</v>
      </c>
    </row>
    <row r="356" spans="1:10" ht="16.5" thickBot="1" x14ac:dyDescent="0.3">
      <c r="A356" s="158"/>
      <c r="B356" s="158" t="s">
        <v>515</v>
      </c>
      <c r="C356" s="300">
        <f>SUM(C357,C359,C362,C367,C371,C376,C380)</f>
        <v>15688788.33</v>
      </c>
      <c r="D356" s="300">
        <f>SUM(D357,D359,D362,D367,D371,D376,D380)</f>
        <v>14993048.33</v>
      </c>
      <c r="E356" s="387">
        <v>11949551.75</v>
      </c>
      <c r="F356" s="706">
        <f>SUM(E357,E359,E362,E367,E371,E376,E380)</f>
        <v>11949551.750000002</v>
      </c>
      <c r="G356" s="479">
        <f>E356/C356*100</f>
        <v>76.166186315039667</v>
      </c>
      <c r="H356" s="479">
        <f t="shared" si="111"/>
        <v>79.700615158358517</v>
      </c>
      <c r="I356" s="479">
        <f>E356/J356*100</f>
        <v>96.284029322440716</v>
      </c>
      <c r="J356" s="14">
        <v>12410730.869999999</v>
      </c>
    </row>
    <row r="357" spans="1:10" x14ac:dyDescent="0.2">
      <c r="A357" s="224">
        <v>3341</v>
      </c>
      <c r="B357" s="224" t="s">
        <v>514</v>
      </c>
      <c r="C357" s="217">
        <f>SUM(C358:C358)</f>
        <v>150000</v>
      </c>
      <c r="D357" s="217">
        <f>SUM(D358:D358)</f>
        <v>175000</v>
      </c>
      <c r="E357" s="187">
        <v>172966.45</v>
      </c>
      <c r="F357" s="716"/>
      <c r="G357" s="120">
        <f>E357/C357*100</f>
        <v>115.31096666666667</v>
      </c>
      <c r="H357" s="120">
        <f t="shared" si="111"/>
        <v>98.837971428571436</v>
      </c>
      <c r="I357" s="120">
        <f>E357/J357*100</f>
        <v>978.85905147703409</v>
      </c>
      <c r="J357" s="296">
        <v>17670.21</v>
      </c>
    </row>
    <row r="358" spans="1:10" x14ac:dyDescent="0.2">
      <c r="A358" s="288" t="s">
        <v>861</v>
      </c>
      <c r="B358" s="131" t="s">
        <v>862</v>
      </c>
      <c r="C358" s="126">
        <f>145000+5000</f>
        <v>150000</v>
      </c>
      <c r="D358" s="126">
        <f>145000+5000+25000</f>
        <v>175000</v>
      </c>
      <c r="E358" s="294">
        <v>172966.45</v>
      </c>
      <c r="F358" s="294"/>
      <c r="G358" s="126">
        <f t="shared" ref="G358:G381" si="116">E358/C358*100</f>
        <v>115.31096666666667</v>
      </c>
      <c r="H358" s="126">
        <f t="shared" si="111"/>
        <v>98.837971428571436</v>
      </c>
      <c r="I358" s="126">
        <f>E358/J358*100</f>
        <v>978.85905147703409</v>
      </c>
      <c r="J358" s="201">
        <v>17670.21</v>
      </c>
    </row>
    <row r="359" spans="1:10" x14ac:dyDescent="0.2">
      <c r="A359" s="137">
        <v>3421</v>
      </c>
      <c r="B359" s="123" t="s">
        <v>513</v>
      </c>
      <c r="C359" s="122">
        <f>SUM(C360:C361)</f>
        <v>1880000</v>
      </c>
      <c r="D359" s="122">
        <f>SUM(D360:D361)</f>
        <v>1580459</v>
      </c>
      <c r="E359" s="540">
        <v>1042592.87</v>
      </c>
      <c r="F359" s="487">
        <f>SUM(E360:E361)</f>
        <v>1042592.87</v>
      </c>
      <c r="G359" s="120">
        <f t="shared" si="116"/>
        <v>55.457067553191486</v>
      </c>
      <c r="H359" s="120">
        <f t="shared" si="111"/>
        <v>65.967726464273994</v>
      </c>
      <c r="I359" s="120">
        <f t="shared" ref="I359:I364" si="117">E359/J359*100</f>
        <v>211.63897910796788</v>
      </c>
      <c r="J359" s="14">
        <v>492628</v>
      </c>
    </row>
    <row r="360" spans="1:10" x14ac:dyDescent="0.2">
      <c r="A360" s="288" t="s">
        <v>864</v>
      </c>
      <c r="B360" s="299" t="s">
        <v>863</v>
      </c>
      <c r="C360" s="133">
        <f>1000000+110000+120000+300000</f>
        <v>1530000</v>
      </c>
      <c r="D360" s="133">
        <f>1000000+110000+120000+300000-299541</f>
        <v>1230459</v>
      </c>
      <c r="E360" s="127">
        <v>692592.87</v>
      </c>
      <c r="F360" s="289"/>
      <c r="G360" s="126">
        <f t="shared" si="116"/>
        <v>45.267507843137253</v>
      </c>
      <c r="H360" s="126">
        <f t="shared" si="111"/>
        <v>56.287358619832105</v>
      </c>
      <c r="I360" s="126">
        <f t="shared" si="117"/>
        <v>325.72985213612509</v>
      </c>
      <c r="J360" s="14">
        <v>212628</v>
      </c>
    </row>
    <row r="361" spans="1:10" x14ac:dyDescent="0.2">
      <c r="A361" s="288" t="s">
        <v>512</v>
      </c>
      <c r="B361" s="298" t="s">
        <v>511</v>
      </c>
      <c r="C361" s="126">
        <v>350000</v>
      </c>
      <c r="D361" s="126">
        <v>350000</v>
      </c>
      <c r="E361" s="292">
        <v>350000</v>
      </c>
      <c r="F361" s="292"/>
      <c r="G361" s="126">
        <f t="shared" si="116"/>
        <v>100</v>
      </c>
      <c r="H361" s="126">
        <f t="shared" si="111"/>
        <v>100</v>
      </c>
      <c r="I361" s="126">
        <f t="shared" si="117"/>
        <v>125</v>
      </c>
      <c r="J361" s="14">
        <v>280000</v>
      </c>
    </row>
    <row r="362" spans="1:10" x14ac:dyDescent="0.2">
      <c r="A362" s="123">
        <v>3613</v>
      </c>
      <c r="B362" s="123" t="s">
        <v>510</v>
      </c>
      <c r="C362" s="122">
        <f>SUM(C363:C366)</f>
        <v>995000</v>
      </c>
      <c r="D362" s="122">
        <f>SUM(D363:D366)</f>
        <v>1294541</v>
      </c>
      <c r="E362" s="361">
        <v>913394.01</v>
      </c>
      <c r="F362" s="292">
        <f>SUM(E363:E366)</f>
        <v>913394.01</v>
      </c>
      <c r="G362" s="120">
        <f t="shared" si="116"/>
        <v>91.798392964824131</v>
      </c>
      <c r="H362" s="120">
        <f t="shared" si="111"/>
        <v>70.557364347672262</v>
      </c>
      <c r="I362" s="120">
        <f t="shared" si="117"/>
        <v>190.44461540694115</v>
      </c>
      <c r="J362" s="14">
        <v>479611.36</v>
      </c>
    </row>
    <row r="363" spans="1:10" x14ac:dyDescent="0.2">
      <c r="A363" s="290" t="s">
        <v>1005</v>
      </c>
      <c r="B363" s="291" t="s">
        <v>1006</v>
      </c>
      <c r="C363" s="126">
        <v>0</v>
      </c>
      <c r="D363" s="126">
        <v>299541</v>
      </c>
      <c r="E363" s="292">
        <v>299541</v>
      </c>
      <c r="F363" s="292"/>
      <c r="G363" s="126">
        <v>0</v>
      </c>
      <c r="H363" s="126">
        <f t="shared" ref="H363" si="118">E363/D363*100</f>
        <v>100</v>
      </c>
      <c r="I363" s="126">
        <v>0</v>
      </c>
      <c r="J363" s="14">
        <v>0</v>
      </c>
    </row>
    <row r="364" spans="1:10" x14ac:dyDescent="0.2">
      <c r="A364" s="290" t="s">
        <v>865</v>
      </c>
      <c r="B364" s="291" t="s">
        <v>1007</v>
      </c>
      <c r="C364" s="126">
        <f>5000+5000+250000+60000+300000</f>
        <v>620000</v>
      </c>
      <c r="D364" s="126">
        <f>5000+5000+250000+60000+300000-100000</f>
        <v>520000</v>
      </c>
      <c r="E364" s="292">
        <v>260005.2</v>
      </c>
      <c r="F364" s="292"/>
      <c r="G364" s="126">
        <f t="shared" si="116"/>
        <v>41.936322580645161</v>
      </c>
      <c r="H364" s="126">
        <f t="shared" si="111"/>
        <v>50.001000000000005</v>
      </c>
      <c r="I364" s="126">
        <f t="shared" si="117"/>
        <v>222.5989777260788</v>
      </c>
      <c r="J364" s="14">
        <v>116804.31</v>
      </c>
    </row>
    <row r="365" spans="1:10" ht="12.75" customHeight="1" x14ac:dyDescent="0.2">
      <c r="A365" s="290" t="s">
        <v>509</v>
      </c>
      <c r="B365" s="155" t="s">
        <v>508</v>
      </c>
      <c r="C365" s="126">
        <v>175000</v>
      </c>
      <c r="D365" s="126">
        <f>175000</f>
        <v>175000</v>
      </c>
      <c r="E365" s="289">
        <v>65383.17</v>
      </c>
      <c r="F365" s="289"/>
      <c r="G365" s="126">
        <f t="shared" si="116"/>
        <v>37.361811428571428</v>
      </c>
      <c r="H365" s="126">
        <f t="shared" si="111"/>
        <v>37.361811428571428</v>
      </c>
      <c r="I365" s="126">
        <f>E365/J365*100</f>
        <v>85.017801770931939</v>
      </c>
      <c r="J365" s="14">
        <v>76905.27</v>
      </c>
    </row>
    <row r="366" spans="1:10" x14ac:dyDescent="0.2">
      <c r="A366" s="290" t="s">
        <v>507</v>
      </c>
      <c r="B366" s="155" t="s">
        <v>506</v>
      </c>
      <c r="C366" s="126">
        <v>200000</v>
      </c>
      <c r="D366" s="126">
        <f>200000+100000</f>
        <v>300000</v>
      </c>
      <c r="E366" s="289">
        <v>288464.64000000001</v>
      </c>
      <c r="F366" s="289"/>
      <c r="G366" s="126">
        <f t="shared" si="116"/>
        <v>144.23232000000002</v>
      </c>
      <c r="H366" s="126">
        <f t="shared" si="111"/>
        <v>96.154880000000006</v>
      </c>
      <c r="I366" s="126">
        <f>E366/J366*100</f>
        <v>141.07686090595945</v>
      </c>
      <c r="J366" s="14">
        <v>204473.39</v>
      </c>
    </row>
    <row r="367" spans="1:10" x14ac:dyDescent="0.2">
      <c r="A367" s="123">
        <v>3631</v>
      </c>
      <c r="B367" s="123" t="s">
        <v>505</v>
      </c>
      <c r="C367" s="122">
        <f>SUM(C368:C370)</f>
        <v>9200000</v>
      </c>
      <c r="D367" s="122">
        <f>SUM(D368:D370)</f>
        <v>9073550</v>
      </c>
      <c r="E367" s="18">
        <v>7030818.8600000003</v>
      </c>
      <c r="F367" s="233">
        <f>SUM(E368:E370)</f>
        <v>7030818.8600000003</v>
      </c>
      <c r="G367" s="120">
        <f t="shared" si="116"/>
        <v>76.421944130434781</v>
      </c>
      <c r="H367" s="121">
        <f t="shared" si="111"/>
        <v>77.486968826975115</v>
      </c>
      <c r="I367" s="121">
        <f t="shared" ref="I367:I374" si="119">E367/J367*100</f>
        <v>88.288621938846717</v>
      </c>
      <c r="J367" s="14">
        <v>7963448.4100000001</v>
      </c>
    </row>
    <row r="368" spans="1:10" x14ac:dyDescent="0.2">
      <c r="A368" s="290" t="s">
        <v>867</v>
      </c>
      <c r="B368" s="155" t="s">
        <v>868</v>
      </c>
      <c r="C368" s="126">
        <f>600000+100000</f>
        <v>700000</v>
      </c>
      <c r="D368" s="126">
        <f>600000+100000</f>
        <v>700000</v>
      </c>
      <c r="E368" s="10">
        <v>612517.61</v>
      </c>
      <c r="F368" s="233"/>
      <c r="G368" s="126">
        <f t="shared" si="116"/>
        <v>87.502515714285707</v>
      </c>
      <c r="H368" s="130">
        <f t="shared" si="111"/>
        <v>87.502515714285707</v>
      </c>
      <c r="I368" s="130">
        <f t="shared" si="119"/>
        <v>2462.4239283638153</v>
      </c>
      <c r="J368" s="14">
        <v>24874.58</v>
      </c>
    </row>
    <row r="369" spans="1:10" x14ac:dyDescent="0.2">
      <c r="A369" s="288" t="s">
        <v>504</v>
      </c>
      <c r="B369" s="155" t="s">
        <v>503</v>
      </c>
      <c r="C369" s="126">
        <v>4000000</v>
      </c>
      <c r="D369" s="126">
        <f>4000000+23550-150000</f>
        <v>3873550</v>
      </c>
      <c r="E369" s="233">
        <v>3873550</v>
      </c>
      <c r="F369" s="233"/>
      <c r="G369" s="126">
        <f t="shared" si="116"/>
        <v>96.83874999999999</v>
      </c>
      <c r="H369" s="126">
        <f t="shared" si="111"/>
        <v>100</v>
      </c>
      <c r="I369" s="126">
        <f t="shared" si="119"/>
        <v>109.85288383140133</v>
      </c>
      <c r="J369" s="14">
        <v>3526125</v>
      </c>
    </row>
    <row r="370" spans="1:10" x14ac:dyDescent="0.2">
      <c r="A370" s="288" t="s">
        <v>502</v>
      </c>
      <c r="B370" s="155" t="s">
        <v>501</v>
      </c>
      <c r="C370" s="126">
        <v>4500000</v>
      </c>
      <c r="D370" s="126">
        <v>4500000</v>
      </c>
      <c r="E370" s="233">
        <v>2544751.25</v>
      </c>
      <c r="F370" s="233"/>
      <c r="G370" s="126">
        <f t="shared" si="116"/>
        <v>56.550027777777778</v>
      </c>
      <c r="H370" s="126">
        <f t="shared" si="111"/>
        <v>56.550027777777778</v>
      </c>
      <c r="I370" s="126">
        <f t="shared" si="119"/>
        <v>57.672085230731163</v>
      </c>
      <c r="J370" s="14">
        <v>4412448.83</v>
      </c>
    </row>
    <row r="371" spans="1:10" x14ac:dyDescent="0.2">
      <c r="A371" s="229">
        <v>3632</v>
      </c>
      <c r="B371" s="229" t="s">
        <v>500</v>
      </c>
      <c r="C371" s="122">
        <f>SUM(C372,C374:C375)</f>
        <v>3250000</v>
      </c>
      <c r="D371" s="122">
        <f>SUM(D372,D374:D375)</f>
        <v>2466950</v>
      </c>
      <c r="E371" s="238">
        <v>2391950</v>
      </c>
      <c r="F371" s="233">
        <f>SUM(E373:E375)</f>
        <v>2391950</v>
      </c>
      <c r="G371" s="120">
        <f t="shared" si="116"/>
        <v>73.598461538461535</v>
      </c>
      <c r="H371" s="120">
        <f t="shared" si="111"/>
        <v>96.959808670625662</v>
      </c>
      <c r="I371" s="120">
        <f t="shared" si="119"/>
        <v>70.459591245469639</v>
      </c>
      <c r="J371" s="14">
        <v>3394782.68</v>
      </c>
    </row>
    <row r="372" spans="1:10" x14ac:dyDescent="0.2">
      <c r="A372" s="131"/>
      <c r="B372" s="131" t="s">
        <v>499</v>
      </c>
      <c r="C372" s="127">
        <f>SUM(C373:C373)</f>
        <v>650000</v>
      </c>
      <c r="D372" s="127">
        <f>SUM(D373:D373)</f>
        <v>68400</v>
      </c>
      <c r="E372" s="233">
        <v>68400</v>
      </c>
      <c r="F372" s="233"/>
      <c r="G372" s="126">
        <f t="shared" si="116"/>
        <v>10.523076923076923</v>
      </c>
      <c r="H372" s="126">
        <f t="shared" si="111"/>
        <v>100</v>
      </c>
      <c r="I372" s="126">
        <f t="shared" si="119"/>
        <v>9.9661721308293796</v>
      </c>
      <c r="J372" s="14">
        <v>686321.68</v>
      </c>
    </row>
    <row r="373" spans="1:10" x14ac:dyDescent="0.2">
      <c r="A373" s="288" t="s">
        <v>498</v>
      </c>
      <c r="B373" s="155" t="s">
        <v>497</v>
      </c>
      <c r="C373" s="126">
        <v>650000</v>
      </c>
      <c r="D373" s="126">
        <f>650000+87530-669130</f>
        <v>68400</v>
      </c>
      <c r="E373" s="10">
        <v>68400</v>
      </c>
      <c r="F373" s="10"/>
      <c r="G373" s="126">
        <f t="shared" si="116"/>
        <v>10.523076923076923</v>
      </c>
      <c r="H373" s="126">
        <f t="shared" si="111"/>
        <v>100</v>
      </c>
      <c r="I373" s="126">
        <v>0</v>
      </c>
      <c r="J373" s="14">
        <v>0</v>
      </c>
    </row>
    <row r="374" spans="1:10" x14ac:dyDescent="0.2">
      <c r="A374" s="293" t="s">
        <v>496</v>
      </c>
      <c r="B374" s="155" t="s">
        <v>495</v>
      </c>
      <c r="C374" s="126">
        <v>2500000</v>
      </c>
      <c r="D374" s="126">
        <f>2500000+23550-100000-100000</f>
        <v>2323550</v>
      </c>
      <c r="E374" s="10">
        <v>2323550</v>
      </c>
      <c r="F374" s="10"/>
      <c r="G374" s="126">
        <f t="shared" si="116"/>
        <v>92.942000000000007</v>
      </c>
      <c r="H374" s="126">
        <f t="shared" si="111"/>
        <v>100</v>
      </c>
      <c r="I374" s="126">
        <f t="shared" si="119"/>
        <v>92.059663362468754</v>
      </c>
      <c r="J374" s="14">
        <v>2523961</v>
      </c>
    </row>
    <row r="375" spans="1:10" s="3" customFormat="1" x14ac:dyDescent="0.2">
      <c r="A375" s="293" t="s">
        <v>494</v>
      </c>
      <c r="B375" s="155" t="s">
        <v>493</v>
      </c>
      <c r="C375" s="126">
        <v>100000</v>
      </c>
      <c r="D375" s="126">
        <f>100000-25000</f>
        <v>75000</v>
      </c>
      <c r="E375" s="285">
        <v>0</v>
      </c>
      <c r="F375" s="11"/>
      <c r="G375" s="126">
        <f t="shared" si="116"/>
        <v>0</v>
      </c>
      <c r="H375" s="151">
        <f t="shared" si="111"/>
        <v>0</v>
      </c>
      <c r="I375" s="151">
        <v>0</v>
      </c>
      <c r="J375" s="14">
        <v>0</v>
      </c>
    </row>
    <row r="376" spans="1:10" s="3" customFormat="1" x14ac:dyDescent="0.2">
      <c r="A376" s="123">
        <v>3639</v>
      </c>
      <c r="B376" s="123" t="s">
        <v>492</v>
      </c>
      <c r="C376" s="122">
        <f>SUM(C377:C379)</f>
        <v>13788.33</v>
      </c>
      <c r="D376" s="122">
        <f>SUM(D377:D379)</f>
        <v>202548.33</v>
      </c>
      <c r="E376" s="18">
        <v>197829.56</v>
      </c>
      <c r="F376" s="10">
        <f>SUM(E377:E379)</f>
        <v>197829.56</v>
      </c>
      <c r="G376" s="120">
        <f t="shared" si="116"/>
        <v>1434.7608448593849</v>
      </c>
      <c r="H376" s="121">
        <f t="shared" si="111"/>
        <v>97.670299231793223</v>
      </c>
      <c r="I376" s="121">
        <f>E376/J376*100</f>
        <v>2251.0483789297855</v>
      </c>
      <c r="J376" s="14">
        <v>8788.33</v>
      </c>
    </row>
    <row r="377" spans="1:10" s="3" customFormat="1" x14ac:dyDescent="0.2">
      <c r="A377" s="288" t="s">
        <v>491</v>
      </c>
      <c r="B377" s="291" t="s">
        <v>991</v>
      </c>
      <c r="C377" s="127">
        <v>8788.33</v>
      </c>
      <c r="D377" s="127">
        <f>8788.33+281.23</f>
        <v>9069.56</v>
      </c>
      <c r="E377" s="488">
        <v>9069.56</v>
      </c>
      <c r="F377" s="9"/>
      <c r="G377" s="126">
        <f t="shared" si="116"/>
        <v>103.20003914281779</v>
      </c>
      <c r="H377" s="126">
        <f t="shared" si="111"/>
        <v>100</v>
      </c>
      <c r="I377" s="130">
        <f t="shared" ref="I377" si="120">E377/J377*100</f>
        <v>103.20003914281779</v>
      </c>
      <c r="J377" s="14">
        <v>8788.33</v>
      </c>
    </row>
    <row r="378" spans="1:10" s="3" customFormat="1" x14ac:dyDescent="0.2">
      <c r="A378" s="293" t="s">
        <v>990</v>
      </c>
      <c r="B378" s="309" t="s">
        <v>992</v>
      </c>
      <c r="C378" s="126">
        <v>0</v>
      </c>
      <c r="D378" s="126">
        <f>200000-11240</f>
        <v>188760</v>
      </c>
      <c r="E378" s="297">
        <v>188760</v>
      </c>
      <c r="F378" s="130"/>
      <c r="G378" s="126">
        <v>0</v>
      </c>
      <c r="H378" s="126">
        <f>E378/D378*100</f>
        <v>100</v>
      </c>
      <c r="I378" s="126">
        <v>0</v>
      </c>
      <c r="J378" s="14">
        <v>0</v>
      </c>
    </row>
    <row r="379" spans="1:10" s="3" customFormat="1" x14ac:dyDescent="0.2">
      <c r="A379" s="290" t="s">
        <v>489</v>
      </c>
      <c r="B379" s="155" t="s">
        <v>488</v>
      </c>
      <c r="C379" s="126">
        <v>5000</v>
      </c>
      <c r="D379" s="126">
        <f>5000-281.23</f>
        <v>4718.7700000000004</v>
      </c>
      <c r="E379" s="233">
        <v>0</v>
      </c>
      <c r="F379" s="10"/>
      <c r="G379" s="126">
        <f t="shared" si="116"/>
        <v>0</v>
      </c>
      <c r="H379" s="126">
        <f t="shared" si="111"/>
        <v>0</v>
      </c>
      <c r="I379" s="130">
        <v>0</v>
      </c>
      <c r="J379" s="14">
        <v>0</v>
      </c>
    </row>
    <row r="380" spans="1:10" s="3" customFormat="1" x14ac:dyDescent="0.2">
      <c r="A380" s="123">
        <v>3699</v>
      </c>
      <c r="B380" s="123" t="s">
        <v>487</v>
      </c>
      <c r="C380" s="122">
        <f>SUM(C381)</f>
        <v>200000</v>
      </c>
      <c r="D380" s="122">
        <f>SUM(D381)</f>
        <v>200000</v>
      </c>
      <c r="E380" s="238">
        <v>200000</v>
      </c>
      <c r="F380" s="10"/>
      <c r="G380" s="120">
        <f t="shared" si="116"/>
        <v>100</v>
      </c>
      <c r="H380" s="120">
        <f t="shared" si="111"/>
        <v>100</v>
      </c>
      <c r="I380" s="121">
        <f>E380/J380*100</f>
        <v>371.73422192681744</v>
      </c>
      <c r="J380" s="14">
        <v>53801.88</v>
      </c>
    </row>
    <row r="381" spans="1:10" s="3" customFormat="1" x14ac:dyDescent="0.2">
      <c r="A381" s="288" t="s">
        <v>486</v>
      </c>
      <c r="B381" s="155" t="s">
        <v>485</v>
      </c>
      <c r="C381" s="126">
        <v>200000</v>
      </c>
      <c r="D381" s="126">
        <v>200000</v>
      </c>
      <c r="E381" s="233">
        <v>200000</v>
      </c>
      <c r="F381" s="10"/>
      <c r="G381" s="126">
        <f t="shared" si="116"/>
        <v>100</v>
      </c>
      <c r="H381" s="126">
        <f t="shared" si="111"/>
        <v>100</v>
      </c>
      <c r="I381" s="130">
        <f t="shared" ref="I381" si="121">E381/J381*100</f>
        <v>371.73422192681744</v>
      </c>
      <c r="J381" s="14">
        <v>53801.88</v>
      </c>
    </row>
    <row r="382" spans="1:10" s="3" customFormat="1" ht="13.5" thickBot="1" x14ac:dyDescent="0.25">
      <c r="A382" s="287"/>
      <c r="B382" s="286"/>
      <c r="C382" s="117"/>
      <c r="D382" s="117"/>
      <c r="E382" s="285"/>
      <c r="F382" s="11"/>
      <c r="G382" s="151"/>
      <c r="H382" s="151"/>
      <c r="I382" s="151"/>
      <c r="J382" s="14"/>
    </row>
    <row r="383" spans="1:10" s="3" customFormat="1" ht="21" thickBot="1" x14ac:dyDescent="0.25">
      <c r="A383" s="284"/>
      <c r="B383" s="283" t="s">
        <v>484</v>
      </c>
      <c r="C383" s="181">
        <f>SUM(C384+C394+C442+C453+C471)</f>
        <v>114484000</v>
      </c>
      <c r="D383" s="181">
        <f>SUM(D384+D394+D442+D453+D471)</f>
        <v>74499500</v>
      </c>
      <c r="E383" s="47">
        <v>58559569.43</v>
      </c>
      <c r="F383" s="707">
        <f>SUM(E384,E394,E442,E453,E471)</f>
        <v>58559569.43</v>
      </c>
      <c r="G383" s="571">
        <f>E383/C383*100</f>
        <v>51.150876480556242</v>
      </c>
      <c r="H383" s="181">
        <f>E383/D383*100</f>
        <v>78.603976442794917</v>
      </c>
      <c r="I383" s="181">
        <f>E383/J383*100</f>
        <v>321.31876224264835</v>
      </c>
      <c r="J383" s="6">
        <v>18224758.809999999</v>
      </c>
    </row>
    <row r="384" spans="1:10" s="3" customFormat="1" ht="16.5" thickBot="1" x14ac:dyDescent="0.25">
      <c r="A384" s="282"/>
      <c r="B384" s="281" t="s">
        <v>483</v>
      </c>
      <c r="C384" s="265">
        <f>SUM(C385+C389)</f>
        <v>5530000</v>
      </c>
      <c r="D384" s="265">
        <f>SUM(D385+D389)</f>
        <v>4330000</v>
      </c>
      <c r="E384" s="43">
        <v>3474979.5</v>
      </c>
      <c r="F384" s="707">
        <f>SUM(E385,E389)</f>
        <v>3474979.5</v>
      </c>
      <c r="G384" s="479">
        <f>E384/C384*100</f>
        <v>62.838688969258591</v>
      </c>
      <c r="H384" s="479">
        <f t="shared" ref="H384" si="122">E384/D384*100</f>
        <v>80.253568129330262</v>
      </c>
      <c r="I384" s="479">
        <f>E384/J384*100</f>
        <v>913.84610456796372</v>
      </c>
      <c r="J384" s="14">
        <v>380258.72</v>
      </c>
    </row>
    <row r="385" spans="1:10" s="3" customFormat="1" x14ac:dyDescent="0.2">
      <c r="A385" s="275">
        <v>2310</v>
      </c>
      <c r="B385" s="274" t="s">
        <v>482</v>
      </c>
      <c r="C385" s="273">
        <f>SUM(C386:C388)</f>
        <v>4950000</v>
      </c>
      <c r="D385" s="273">
        <f>SUM(D386:D388)</f>
        <v>3750000</v>
      </c>
      <c r="E385" s="241">
        <v>3303290.5</v>
      </c>
      <c r="F385" s="9">
        <f>SUM(E386:E388)</f>
        <v>3303290.5</v>
      </c>
      <c r="G385" s="120">
        <f>E385/C385*100</f>
        <v>66.733141414141414</v>
      </c>
      <c r="H385" s="120">
        <f t="shared" si="111"/>
        <v>88.087746666666661</v>
      </c>
      <c r="I385" s="120">
        <f>E385/J385*100</f>
        <v>55054.841666666667</v>
      </c>
      <c r="J385" s="14">
        <v>6000</v>
      </c>
    </row>
    <row r="386" spans="1:10" s="3" customFormat="1" x14ac:dyDescent="0.2">
      <c r="A386" s="261" t="s">
        <v>481</v>
      </c>
      <c r="B386" s="260" t="s">
        <v>480</v>
      </c>
      <c r="C386" s="259">
        <v>4800000</v>
      </c>
      <c r="D386" s="259">
        <f>4800000-93200-1200000</f>
        <v>3506800</v>
      </c>
      <c r="E386" s="233">
        <v>3104040.5</v>
      </c>
      <c r="F386" s="10"/>
      <c r="G386" s="126">
        <f t="shared" ref="G386:G393" si="123">E386/C386*100</f>
        <v>64.667510416666659</v>
      </c>
      <c r="H386" s="126">
        <f t="shared" si="111"/>
        <v>88.514899623588462</v>
      </c>
      <c r="I386" s="126">
        <f t="shared" ref="I386" si="124">E386/J386*100</f>
        <v>51734.008333333339</v>
      </c>
      <c r="J386" s="14">
        <v>6000</v>
      </c>
    </row>
    <row r="387" spans="1:10" s="3" customFormat="1" x14ac:dyDescent="0.2">
      <c r="A387" s="261" t="s">
        <v>479</v>
      </c>
      <c r="B387" s="260" t="s">
        <v>478</v>
      </c>
      <c r="C387" s="259">
        <v>100000</v>
      </c>
      <c r="D387" s="259">
        <f>100000+93200+6050</f>
        <v>199250</v>
      </c>
      <c r="E387" s="233">
        <v>199250</v>
      </c>
      <c r="F387" s="10"/>
      <c r="G387" s="126">
        <f t="shared" si="123"/>
        <v>199.25</v>
      </c>
      <c r="H387" s="126">
        <f t="shared" si="111"/>
        <v>100</v>
      </c>
      <c r="I387" s="126">
        <v>0</v>
      </c>
      <c r="J387" s="14">
        <v>0</v>
      </c>
    </row>
    <row r="388" spans="1:10" s="3" customFormat="1" x14ac:dyDescent="0.2">
      <c r="A388" s="261" t="s">
        <v>477</v>
      </c>
      <c r="B388" s="260" t="s">
        <v>476</v>
      </c>
      <c r="C388" s="259">
        <v>50000</v>
      </c>
      <c r="D388" s="259">
        <f>50000-6050</f>
        <v>43950</v>
      </c>
      <c r="E388" s="233">
        <v>0</v>
      </c>
      <c r="F388" s="10"/>
      <c r="G388" s="126">
        <f t="shared" si="123"/>
        <v>0</v>
      </c>
      <c r="H388" s="126">
        <f>E388/D388*100</f>
        <v>0</v>
      </c>
      <c r="I388" s="126">
        <v>0</v>
      </c>
      <c r="J388" s="14">
        <v>0</v>
      </c>
    </row>
    <row r="389" spans="1:10" s="3" customFormat="1" x14ac:dyDescent="0.2">
      <c r="A389" s="271">
        <v>2321</v>
      </c>
      <c r="B389" s="270" t="s">
        <v>475</v>
      </c>
      <c r="C389" s="280">
        <f>SUM(C390:C393)</f>
        <v>580000</v>
      </c>
      <c r="D389" s="280">
        <f>SUM(D390:D393)</f>
        <v>580000</v>
      </c>
      <c r="E389" s="238">
        <v>171689</v>
      </c>
      <c r="F389" s="10">
        <f>SUM(E390:E393)</f>
        <v>171689</v>
      </c>
      <c r="G389" s="120">
        <f t="shared" si="123"/>
        <v>29.601551724137931</v>
      </c>
      <c r="H389" s="120">
        <f>E389/D389*100</f>
        <v>29.601551724137931</v>
      </c>
      <c r="I389" s="120">
        <f>E389/J389*100</f>
        <v>46.475446615157999</v>
      </c>
      <c r="J389" s="14">
        <v>369418.72</v>
      </c>
    </row>
    <row r="390" spans="1:10" s="3" customFormat="1" x14ac:dyDescent="0.2">
      <c r="A390" s="261" t="s">
        <v>474</v>
      </c>
      <c r="B390" s="260" t="s">
        <v>473</v>
      </c>
      <c r="C390" s="259">
        <v>30000</v>
      </c>
      <c r="D390" s="259">
        <f>30000+21000</f>
        <v>51000</v>
      </c>
      <c r="E390" s="233">
        <v>29800</v>
      </c>
      <c r="F390" s="10"/>
      <c r="G390" s="126">
        <f t="shared" si="123"/>
        <v>99.333333333333329</v>
      </c>
      <c r="H390" s="126">
        <f t="shared" si="111"/>
        <v>58.431372549019613</v>
      </c>
      <c r="I390" s="126">
        <v>0</v>
      </c>
      <c r="J390" s="14">
        <v>0</v>
      </c>
    </row>
    <row r="391" spans="1:10" s="3" customFormat="1" x14ac:dyDescent="0.2">
      <c r="A391" s="261" t="s">
        <v>472</v>
      </c>
      <c r="B391" s="260" t="s">
        <v>471</v>
      </c>
      <c r="C391" s="259">
        <v>400000</v>
      </c>
      <c r="D391" s="259">
        <f>400000-15000-21000</f>
        <v>364000</v>
      </c>
      <c r="E391" s="233">
        <v>31900</v>
      </c>
      <c r="F391" s="10"/>
      <c r="G391" s="126">
        <f t="shared" si="123"/>
        <v>7.9750000000000005</v>
      </c>
      <c r="H391" s="126">
        <f>E391/D391*100</f>
        <v>8.7637362637362628</v>
      </c>
      <c r="I391" s="126">
        <v>0</v>
      </c>
      <c r="J391" s="14">
        <v>0</v>
      </c>
    </row>
    <row r="392" spans="1:10" s="3" customFormat="1" x14ac:dyDescent="0.2">
      <c r="A392" s="261" t="s">
        <v>470</v>
      </c>
      <c r="B392" s="260" t="s">
        <v>469</v>
      </c>
      <c r="C392" s="262">
        <v>50000</v>
      </c>
      <c r="D392" s="262">
        <v>50000</v>
      </c>
      <c r="E392" s="233">
        <v>0</v>
      </c>
      <c r="F392" s="10"/>
      <c r="G392" s="126">
        <f t="shared" si="123"/>
        <v>0</v>
      </c>
      <c r="H392" s="126">
        <f>E392/D392*100</f>
        <v>0</v>
      </c>
      <c r="I392" s="126">
        <v>0</v>
      </c>
      <c r="J392" s="14">
        <v>0</v>
      </c>
    </row>
    <row r="393" spans="1:10" s="3" customFormat="1" ht="13.5" thickBot="1" x14ac:dyDescent="0.25">
      <c r="A393" s="261" t="s">
        <v>952</v>
      </c>
      <c r="B393" s="260" t="s">
        <v>467</v>
      </c>
      <c r="C393" s="259">
        <v>100000</v>
      </c>
      <c r="D393" s="259">
        <f>100000+15000</f>
        <v>115000</v>
      </c>
      <c r="E393" s="233">
        <v>109989</v>
      </c>
      <c r="F393" s="10"/>
      <c r="G393" s="126">
        <f t="shared" si="123"/>
        <v>109.989</v>
      </c>
      <c r="H393" s="126">
        <f>E393/D393*100</f>
        <v>95.642608695652171</v>
      </c>
      <c r="I393" s="126">
        <v>0</v>
      </c>
      <c r="J393" s="14">
        <v>0</v>
      </c>
    </row>
    <row r="394" spans="1:10" ht="16.5" thickBot="1" x14ac:dyDescent="0.3">
      <c r="A394" s="267"/>
      <c r="B394" s="266" t="s">
        <v>466</v>
      </c>
      <c r="C394" s="265">
        <f>SUM(C395+C412+C440)</f>
        <v>38460500</v>
      </c>
      <c r="D394" s="265">
        <f>SUM(D395+D412+D440)</f>
        <v>38030000</v>
      </c>
      <c r="E394" s="43">
        <v>31864376.84</v>
      </c>
      <c r="F394" s="707">
        <f>SUM(E395,E412,E440)</f>
        <v>31864376.840000004</v>
      </c>
      <c r="G394" s="479">
        <f>E394/C394*100</f>
        <v>82.849616723651536</v>
      </c>
      <c r="H394" s="479">
        <f t="shared" ref="H394:H443" si="125">E394/D394*100</f>
        <v>83.787475256376538</v>
      </c>
      <c r="I394" s="479">
        <f t="shared" ref="I394:I399" si="126">E394/J394*100</f>
        <v>263.75992353727992</v>
      </c>
      <c r="J394" s="14">
        <v>12080825.779999999</v>
      </c>
    </row>
    <row r="395" spans="1:10" x14ac:dyDescent="0.2">
      <c r="A395" s="275">
        <v>2212</v>
      </c>
      <c r="B395" s="274" t="s">
        <v>465</v>
      </c>
      <c r="C395" s="273">
        <f>SUM(C396:C411)</f>
        <v>14360000</v>
      </c>
      <c r="D395" s="273">
        <f>SUM(D396:D411)</f>
        <v>15390000</v>
      </c>
      <c r="E395" s="241">
        <v>11534299.15</v>
      </c>
      <c r="F395" s="9">
        <f>SUM(E396:E411)</f>
        <v>11534299.149999999</v>
      </c>
      <c r="G395" s="120">
        <f>E395/C395*100</f>
        <v>80.322417479108637</v>
      </c>
      <c r="H395" s="120">
        <f>E395/D395*100</f>
        <v>74.946713125406106</v>
      </c>
      <c r="I395" s="121">
        <f t="shared" si="126"/>
        <v>215.86983986651961</v>
      </c>
      <c r="J395" s="14">
        <v>5343173.07</v>
      </c>
    </row>
    <row r="396" spans="1:10" x14ac:dyDescent="0.2">
      <c r="A396" s="261" t="s">
        <v>464</v>
      </c>
      <c r="B396" s="260" t="s">
        <v>789</v>
      </c>
      <c r="C396" s="259">
        <v>250000</v>
      </c>
      <c r="D396" s="259">
        <f>250000-70000</f>
        <v>180000</v>
      </c>
      <c r="E396" s="233">
        <v>129891</v>
      </c>
      <c r="F396" s="10">
        <f>E395-F395</f>
        <v>0</v>
      </c>
      <c r="G396" s="126">
        <f t="shared" ref="G396:G450" si="127">E396/C396*100</f>
        <v>51.956400000000002</v>
      </c>
      <c r="H396" s="126">
        <f t="shared" si="125"/>
        <v>72.161666666666662</v>
      </c>
      <c r="I396" s="130">
        <f t="shared" si="126"/>
        <v>84.43307613804042</v>
      </c>
      <c r="J396" s="14">
        <v>153839</v>
      </c>
    </row>
    <row r="397" spans="1:10" x14ac:dyDescent="0.2">
      <c r="A397" s="261" t="s">
        <v>463</v>
      </c>
      <c r="B397" s="260" t="s">
        <v>462</v>
      </c>
      <c r="C397" s="259">
        <v>5000000</v>
      </c>
      <c r="D397" s="259">
        <f>5000000+800000+70000</f>
        <v>5870000</v>
      </c>
      <c r="E397" s="233">
        <v>5868102.5999999996</v>
      </c>
      <c r="F397" s="10"/>
      <c r="G397" s="126">
        <f t="shared" si="127"/>
        <v>117.36205199999998</v>
      </c>
      <c r="H397" s="126">
        <f t="shared" si="125"/>
        <v>99.967676320272574</v>
      </c>
      <c r="I397" s="130">
        <f t="shared" si="126"/>
        <v>145.92058860411908</v>
      </c>
      <c r="J397" s="14">
        <v>4021435.67</v>
      </c>
    </row>
    <row r="398" spans="1:10" x14ac:dyDescent="0.2">
      <c r="A398" s="261" t="s">
        <v>461</v>
      </c>
      <c r="B398" s="260" t="s">
        <v>460</v>
      </c>
      <c r="C398" s="259">
        <v>700000</v>
      </c>
      <c r="D398" s="259">
        <f>700000+1600000</f>
        <v>2300000</v>
      </c>
      <c r="E398" s="233">
        <v>2025335.52</v>
      </c>
      <c r="F398" s="10"/>
      <c r="G398" s="126">
        <f t="shared" si="127"/>
        <v>289.33364571428569</v>
      </c>
      <c r="H398" s="126">
        <f t="shared" si="125"/>
        <v>88.058066086956515</v>
      </c>
      <c r="I398" s="130">
        <f t="shared" si="126"/>
        <v>3320.2221639344261</v>
      </c>
      <c r="J398" s="14">
        <v>61000</v>
      </c>
    </row>
    <row r="399" spans="1:10" x14ac:dyDescent="0.2">
      <c r="A399" s="261" t="s">
        <v>459</v>
      </c>
      <c r="B399" s="260" t="s">
        <v>458</v>
      </c>
      <c r="C399" s="259">
        <v>2300000</v>
      </c>
      <c r="D399" s="259">
        <f>2300000+251000</f>
        <v>2551000</v>
      </c>
      <c r="E399" s="233">
        <v>2550306.62</v>
      </c>
      <c r="F399" s="10"/>
      <c r="G399" s="126">
        <f t="shared" si="127"/>
        <v>110.88289652173913</v>
      </c>
      <c r="H399" s="126">
        <f t="shared" si="125"/>
        <v>99.972819286554298</v>
      </c>
      <c r="I399" s="130">
        <f t="shared" si="126"/>
        <v>3187.8832750000001</v>
      </c>
      <c r="J399" s="14">
        <v>80000</v>
      </c>
    </row>
    <row r="400" spans="1:10" x14ac:dyDescent="0.2">
      <c r="A400" s="261" t="s">
        <v>457</v>
      </c>
      <c r="B400" s="260" t="s">
        <v>456</v>
      </c>
      <c r="C400" s="259">
        <v>1500000</v>
      </c>
      <c r="D400" s="259">
        <f>1500000-800000-251000-40000</f>
        <v>409000</v>
      </c>
      <c r="E400" s="233">
        <v>0</v>
      </c>
      <c r="F400" s="10"/>
      <c r="G400" s="126">
        <f t="shared" si="127"/>
        <v>0</v>
      </c>
      <c r="H400" s="126">
        <f t="shared" si="125"/>
        <v>0</v>
      </c>
      <c r="I400" s="126">
        <v>0</v>
      </c>
      <c r="J400" s="14">
        <v>0</v>
      </c>
    </row>
    <row r="401" spans="1:10" x14ac:dyDescent="0.2">
      <c r="A401" s="261" t="s">
        <v>451</v>
      </c>
      <c r="B401" s="260" t="s">
        <v>450</v>
      </c>
      <c r="C401" s="259">
        <v>1400000</v>
      </c>
      <c r="D401" s="259">
        <f>1400000-400000</f>
        <v>1000000</v>
      </c>
      <c r="E401" s="233">
        <v>2500</v>
      </c>
      <c r="F401" s="10"/>
      <c r="G401" s="126">
        <f>E401/C401*100</f>
        <v>0.17857142857142858</v>
      </c>
      <c r="H401" s="126">
        <f>E401/D401*100</f>
        <v>0.25</v>
      </c>
      <c r="I401" s="126">
        <f>E401/J401*100</f>
        <v>19.130700948882769</v>
      </c>
      <c r="J401" s="14">
        <v>13068</v>
      </c>
    </row>
    <row r="402" spans="1:10" x14ac:dyDescent="0.2">
      <c r="A402" s="261" t="s">
        <v>954</v>
      </c>
      <c r="B402" s="260" t="s">
        <v>438</v>
      </c>
      <c r="C402" s="259">
        <v>400000</v>
      </c>
      <c r="D402" s="259">
        <v>400000</v>
      </c>
      <c r="E402" s="487">
        <v>0</v>
      </c>
      <c r="F402" s="489"/>
      <c r="G402" s="126">
        <f>E402/C402*100</f>
        <v>0</v>
      </c>
      <c r="H402" s="126">
        <f>E402/D402*100</f>
        <v>0</v>
      </c>
      <c r="I402" s="126">
        <v>0</v>
      </c>
      <c r="J402" s="14">
        <v>0</v>
      </c>
    </row>
    <row r="403" spans="1:10" x14ac:dyDescent="0.2">
      <c r="A403" s="261" t="s">
        <v>955</v>
      </c>
      <c r="B403" s="260" t="s">
        <v>436</v>
      </c>
      <c r="C403" s="259">
        <v>100000</v>
      </c>
      <c r="D403" s="259">
        <v>100000</v>
      </c>
      <c r="E403" s="233">
        <v>42350</v>
      </c>
      <c r="F403" s="10"/>
      <c r="G403" s="126">
        <f>E403/C403*100</f>
        <v>42.35</v>
      </c>
      <c r="H403" s="126">
        <f>E403/D403*100</f>
        <v>42.35</v>
      </c>
      <c r="I403" s="126">
        <v>0</v>
      </c>
      <c r="J403" s="14">
        <v>0</v>
      </c>
    </row>
    <row r="404" spans="1:10" x14ac:dyDescent="0.2">
      <c r="A404" s="261" t="s">
        <v>449</v>
      </c>
      <c r="B404" s="260" t="s">
        <v>448</v>
      </c>
      <c r="C404" s="259">
        <f>350000+300000</f>
        <v>650000</v>
      </c>
      <c r="D404" s="259">
        <f>350000+300000</f>
        <v>650000</v>
      </c>
      <c r="E404" s="233">
        <v>646583.41</v>
      </c>
      <c r="F404" s="10"/>
      <c r="G404" s="126">
        <f>E404/C404*100</f>
        <v>99.474370769230774</v>
      </c>
      <c r="H404" s="126">
        <f>E404/D404*100</f>
        <v>99.474370769230774</v>
      </c>
      <c r="I404" s="126">
        <f t="shared" ref="I404:I405" si="128">E404/J404*100</f>
        <v>808.22926250000012</v>
      </c>
      <c r="J404" s="14">
        <v>80000</v>
      </c>
    </row>
    <row r="405" spans="1:10" x14ac:dyDescent="0.2">
      <c r="A405" s="261" t="s">
        <v>455</v>
      </c>
      <c r="B405" s="260" t="s">
        <v>454</v>
      </c>
      <c r="C405" s="259">
        <v>170000</v>
      </c>
      <c r="D405" s="259">
        <f>170000-170000</f>
        <v>0</v>
      </c>
      <c r="E405" s="233">
        <v>0</v>
      </c>
      <c r="F405" s="10"/>
      <c r="G405" s="126">
        <f t="shared" si="127"/>
        <v>0</v>
      </c>
      <c r="H405" s="126">
        <v>0</v>
      </c>
      <c r="I405" s="126">
        <f t="shared" si="128"/>
        <v>0</v>
      </c>
      <c r="J405" s="14">
        <v>210540</v>
      </c>
    </row>
    <row r="406" spans="1:10" x14ac:dyDescent="0.2">
      <c r="A406" s="261" t="s">
        <v>453</v>
      </c>
      <c r="B406" s="260" t="s">
        <v>452</v>
      </c>
      <c r="C406" s="259">
        <v>200000</v>
      </c>
      <c r="D406" s="259">
        <f>200000+40000</f>
        <v>240000</v>
      </c>
      <c r="E406" s="233">
        <v>239580</v>
      </c>
      <c r="F406" s="10"/>
      <c r="G406" s="126">
        <f t="shared" si="127"/>
        <v>119.78999999999999</v>
      </c>
      <c r="H406" s="126">
        <f t="shared" si="125"/>
        <v>99.825000000000003</v>
      </c>
      <c r="I406" s="126">
        <v>0</v>
      </c>
      <c r="J406" s="14">
        <v>0</v>
      </c>
    </row>
    <row r="407" spans="1:10" x14ac:dyDescent="0.2">
      <c r="A407" s="261" t="s">
        <v>445</v>
      </c>
      <c r="B407" s="260" t="s">
        <v>444</v>
      </c>
      <c r="C407" s="259">
        <v>90000</v>
      </c>
      <c r="D407" s="259">
        <v>90000</v>
      </c>
      <c r="E407" s="233">
        <v>0</v>
      </c>
      <c r="F407" s="10"/>
      <c r="G407" s="126">
        <f t="shared" si="127"/>
        <v>0</v>
      </c>
      <c r="H407" s="126">
        <f t="shared" si="125"/>
        <v>0</v>
      </c>
      <c r="I407" s="126">
        <v>0</v>
      </c>
      <c r="J407" s="14">
        <v>0</v>
      </c>
    </row>
    <row r="408" spans="1:10" x14ac:dyDescent="0.2">
      <c r="A408" s="261" t="s">
        <v>443</v>
      </c>
      <c r="B408" s="260" t="s">
        <v>442</v>
      </c>
      <c r="C408" s="259">
        <v>350000</v>
      </c>
      <c r="D408" s="259">
        <v>350000</v>
      </c>
      <c r="E408" s="233">
        <v>5500</v>
      </c>
      <c r="F408" s="10"/>
      <c r="G408" s="126">
        <f t="shared" si="127"/>
        <v>1.5714285714285716</v>
      </c>
      <c r="H408" s="126">
        <f t="shared" si="125"/>
        <v>1.5714285714285716</v>
      </c>
      <c r="I408" s="126">
        <v>0</v>
      </c>
      <c r="J408" s="14">
        <v>0</v>
      </c>
    </row>
    <row r="409" spans="1:10" x14ac:dyDescent="0.2">
      <c r="A409" s="261" t="s">
        <v>953</v>
      </c>
      <c r="B409" s="260" t="s">
        <v>439</v>
      </c>
      <c r="C409" s="259">
        <v>100000</v>
      </c>
      <c r="D409" s="259">
        <v>100000</v>
      </c>
      <c r="E409" s="541">
        <v>0</v>
      </c>
      <c r="F409" s="11"/>
      <c r="G409" s="126">
        <f>E409/C409*100</f>
        <v>0</v>
      </c>
      <c r="H409" s="126">
        <f>E409/D409*100</f>
        <v>0</v>
      </c>
      <c r="I409" s="126">
        <v>0</v>
      </c>
      <c r="J409" s="14">
        <v>0</v>
      </c>
    </row>
    <row r="410" spans="1:10" x14ac:dyDescent="0.2">
      <c r="A410" s="261" t="s">
        <v>447</v>
      </c>
      <c r="B410" s="260" t="s">
        <v>446</v>
      </c>
      <c r="C410" s="259">
        <v>650000</v>
      </c>
      <c r="D410" s="259">
        <v>650000</v>
      </c>
      <c r="E410" s="233">
        <v>4000</v>
      </c>
      <c r="F410" s="10"/>
      <c r="G410" s="126">
        <f>E410/C410*100</f>
        <v>0.61538461538461542</v>
      </c>
      <c r="H410" s="126">
        <f>E410/D410*100</f>
        <v>0.61538461538461542</v>
      </c>
      <c r="I410" s="126">
        <f>E410/J410*100</f>
        <v>7.1322224896805659</v>
      </c>
      <c r="J410" s="14">
        <v>56083.5</v>
      </c>
    </row>
    <row r="411" spans="1:10" x14ac:dyDescent="0.2">
      <c r="A411" s="261" t="s">
        <v>441</v>
      </c>
      <c r="B411" s="260" t="s">
        <v>440</v>
      </c>
      <c r="C411" s="272">
        <v>500000</v>
      </c>
      <c r="D411" s="272">
        <v>500000</v>
      </c>
      <c r="E411" s="233">
        <v>20150</v>
      </c>
      <c r="F411" s="10"/>
      <c r="G411" s="126">
        <f t="shared" si="127"/>
        <v>4.03</v>
      </c>
      <c r="H411" s="126">
        <f t="shared" si="125"/>
        <v>4.03</v>
      </c>
      <c r="I411" s="126">
        <f>E411/J411*100</f>
        <v>5.6966622082863676</v>
      </c>
      <c r="J411" s="14">
        <v>353715.9</v>
      </c>
    </row>
    <row r="412" spans="1:10" x14ac:dyDescent="0.2">
      <c r="A412" s="271">
        <v>2219</v>
      </c>
      <c r="B412" s="270" t="s">
        <v>435</v>
      </c>
      <c r="C412" s="269">
        <f>SUM(C413:C439)</f>
        <v>24040500</v>
      </c>
      <c r="D412" s="269">
        <f>SUM(D413:D439)</f>
        <v>22580000</v>
      </c>
      <c r="E412" s="482">
        <v>20330077.690000001</v>
      </c>
      <c r="F412" s="104">
        <f>SUM(E413:E439)</f>
        <v>20330077.189999998</v>
      </c>
      <c r="G412" s="120">
        <f t="shared" si="127"/>
        <v>84.565951997670609</v>
      </c>
      <c r="H412" s="121">
        <f t="shared" si="125"/>
        <v>90.035773649247133</v>
      </c>
      <c r="I412" s="120">
        <f>E412/J412*100</f>
        <v>328.01623453113098</v>
      </c>
      <c r="J412" s="14">
        <v>6197887.6500000004</v>
      </c>
    </row>
    <row r="413" spans="1:10" x14ac:dyDescent="0.2">
      <c r="A413" s="279" t="s">
        <v>434</v>
      </c>
      <c r="B413" s="278" t="s">
        <v>788</v>
      </c>
      <c r="C413" s="259">
        <v>200000</v>
      </c>
      <c r="D413" s="259">
        <f>200000-82280</f>
        <v>117720</v>
      </c>
      <c r="E413" s="11">
        <v>35094</v>
      </c>
      <c r="F413" s="490"/>
      <c r="G413" s="126">
        <f t="shared" si="127"/>
        <v>17.546999999999997</v>
      </c>
      <c r="H413" s="117">
        <f t="shared" si="125"/>
        <v>29.811416921508666</v>
      </c>
      <c r="I413" s="130">
        <f>E413/J413*100</f>
        <v>52.953691548594449</v>
      </c>
      <c r="J413" s="14">
        <v>66273</v>
      </c>
    </row>
    <row r="414" spans="1:10" x14ac:dyDescent="0.2">
      <c r="A414" s="261" t="s">
        <v>433</v>
      </c>
      <c r="B414" s="260" t="s">
        <v>432</v>
      </c>
      <c r="C414" s="259">
        <v>3000000</v>
      </c>
      <c r="D414" s="259">
        <f>3000000-450000-1200000</f>
        <v>1350000</v>
      </c>
      <c r="E414" s="10">
        <v>1063428.31</v>
      </c>
      <c r="F414" s="10"/>
      <c r="G414" s="130">
        <f t="shared" si="127"/>
        <v>35.447610333333337</v>
      </c>
      <c r="H414" s="130">
        <f>E414/D414*100</f>
        <v>78.772467407407404</v>
      </c>
      <c r="I414" s="130">
        <f>E414/J414*100</f>
        <v>473.81451836147238</v>
      </c>
      <c r="J414" s="14">
        <v>224439.79</v>
      </c>
    </row>
    <row r="415" spans="1:10" x14ac:dyDescent="0.2">
      <c r="A415" s="261" t="s">
        <v>431</v>
      </c>
      <c r="B415" s="260" t="s">
        <v>430</v>
      </c>
      <c r="C415" s="259">
        <v>200000</v>
      </c>
      <c r="D415" s="259">
        <f>200000-200000</f>
        <v>0</v>
      </c>
      <c r="E415" s="9">
        <v>0</v>
      </c>
      <c r="F415" s="9"/>
      <c r="G415" s="126">
        <f t="shared" si="127"/>
        <v>0</v>
      </c>
      <c r="H415" s="126">
        <v>0</v>
      </c>
      <c r="I415" s="130">
        <v>0</v>
      </c>
      <c r="J415" s="14">
        <v>0</v>
      </c>
    </row>
    <row r="416" spans="1:10" x14ac:dyDescent="0.2">
      <c r="A416" s="261" t="s">
        <v>421</v>
      </c>
      <c r="B416" s="260" t="s">
        <v>420</v>
      </c>
      <c r="C416" s="259">
        <v>50000</v>
      </c>
      <c r="D416" s="259">
        <v>50000</v>
      </c>
      <c r="E416" s="10">
        <v>48000</v>
      </c>
      <c r="F416" s="10"/>
      <c r="G416" s="126">
        <f>E416/C416*100</f>
        <v>96</v>
      </c>
      <c r="H416" s="126">
        <f>E416/D416*100</f>
        <v>96</v>
      </c>
      <c r="I416" s="130">
        <f t="shared" ref="I416" si="129">E416/J416*100</f>
        <v>1548.3870967741937</v>
      </c>
      <c r="J416" s="6">
        <v>3100</v>
      </c>
    </row>
    <row r="417" spans="1:10" x14ac:dyDescent="0.2">
      <c r="A417" s="261" t="s">
        <v>417</v>
      </c>
      <c r="B417" s="260" t="s">
        <v>416</v>
      </c>
      <c r="C417" s="259">
        <v>160500</v>
      </c>
      <c r="D417" s="259">
        <f>160500-160500</f>
        <v>0</v>
      </c>
      <c r="E417" s="10">
        <v>0</v>
      </c>
      <c r="F417" s="10"/>
      <c r="G417" s="126">
        <f>E417/C417*100</f>
        <v>0</v>
      </c>
      <c r="H417" s="126">
        <v>0</v>
      </c>
      <c r="I417" s="130">
        <f>E417/J417*100</f>
        <v>0</v>
      </c>
      <c r="J417" s="14">
        <v>329677</v>
      </c>
    </row>
    <row r="418" spans="1:10" x14ac:dyDescent="0.2">
      <c r="A418" s="261" t="s">
        <v>409</v>
      </c>
      <c r="B418" s="260" t="s">
        <v>408</v>
      </c>
      <c r="C418" s="259">
        <v>1500000</v>
      </c>
      <c r="D418" s="259">
        <f>1500000-215890-162803+900000</f>
        <v>2021307</v>
      </c>
      <c r="E418" s="10">
        <v>1753167.11</v>
      </c>
      <c r="F418" s="10"/>
      <c r="G418" s="126">
        <f>E418/C418*100</f>
        <v>116.87780733333335</v>
      </c>
      <c r="H418" s="126">
        <f>E418/D418*100</f>
        <v>86.734331301479699</v>
      </c>
      <c r="I418" s="126">
        <f>E418/J418*100</f>
        <v>10893.973218169391</v>
      </c>
      <c r="J418" s="14">
        <v>16093</v>
      </c>
    </row>
    <row r="419" spans="1:10" x14ac:dyDescent="0.2">
      <c r="A419" s="261" t="s">
        <v>429</v>
      </c>
      <c r="B419" s="260" t="s">
        <v>428</v>
      </c>
      <c r="C419" s="259">
        <v>8650000</v>
      </c>
      <c r="D419" s="259">
        <f>8650000+1087000</f>
        <v>9737000</v>
      </c>
      <c r="E419" s="10">
        <v>9736174.5500000007</v>
      </c>
      <c r="F419" s="10"/>
      <c r="G419" s="126">
        <f t="shared" si="127"/>
        <v>112.55693121387284</v>
      </c>
      <c r="H419" s="126">
        <f t="shared" si="125"/>
        <v>99.991522542877689</v>
      </c>
      <c r="I419" s="130">
        <f t="shared" ref="I419" si="130">E419/J419*100</f>
        <v>2178.5366855107309</v>
      </c>
      <c r="J419" s="14">
        <v>446913.5</v>
      </c>
    </row>
    <row r="420" spans="1:10" x14ac:dyDescent="0.2">
      <c r="A420" s="261" t="s">
        <v>899</v>
      </c>
      <c r="B420" s="260" t="s">
        <v>403</v>
      </c>
      <c r="C420" s="259">
        <v>500000</v>
      </c>
      <c r="D420" s="259">
        <f>500000+162803</f>
        <v>662803</v>
      </c>
      <c r="E420" s="10">
        <v>449759</v>
      </c>
      <c r="F420" s="10"/>
      <c r="G420" s="126">
        <f>E420/C420*100</f>
        <v>89.951800000000006</v>
      </c>
      <c r="H420" s="126">
        <f>E420/D420*100</f>
        <v>67.857115915287054</v>
      </c>
      <c r="I420" s="126">
        <v>0</v>
      </c>
      <c r="J420" s="14">
        <v>0</v>
      </c>
    </row>
    <row r="421" spans="1:10" x14ac:dyDescent="0.2">
      <c r="A421" s="261" t="s">
        <v>425</v>
      </c>
      <c r="B421" s="260" t="s">
        <v>424</v>
      </c>
      <c r="C421" s="259">
        <v>50000</v>
      </c>
      <c r="D421" s="259">
        <v>50000</v>
      </c>
      <c r="E421" s="10">
        <v>0</v>
      </c>
      <c r="F421" s="10"/>
      <c r="G421" s="126">
        <f t="shared" si="127"/>
        <v>0</v>
      </c>
      <c r="H421" s="126">
        <f t="shared" si="125"/>
        <v>0</v>
      </c>
      <c r="I421" s="130">
        <v>0</v>
      </c>
      <c r="J421" s="201">
        <v>0</v>
      </c>
    </row>
    <row r="422" spans="1:10" x14ac:dyDescent="0.2">
      <c r="A422" s="261" t="s">
        <v>427</v>
      </c>
      <c r="B422" s="260" t="s">
        <v>426</v>
      </c>
      <c r="C422" s="259">
        <v>300000</v>
      </c>
      <c r="D422" s="259">
        <v>300000</v>
      </c>
      <c r="E422" s="10">
        <v>140237.20000000001</v>
      </c>
      <c r="F422" s="10"/>
      <c r="G422" s="126">
        <f>E422/C422*100</f>
        <v>46.745733333333341</v>
      </c>
      <c r="H422" s="126">
        <f>E422/D422*100</f>
        <v>46.745733333333341</v>
      </c>
      <c r="I422" s="130">
        <v>0</v>
      </c>
      <c r="J422" s="14">
        <v>0</v>
      </c>
    </row>
    <row r="423" spans="1:10" x14ac:dyDescent="0.2">
      <c r="A423" s="261" t="s">
        <v>407</v>
      </c>
      <c r="B423" s="260" t="s">
        <v>406</v>
      </c>
      <c r="C423" s="259">
        <v>200000</v>
      </c>
      <c r="D423" s="259">
        <v>200000</v>
      </c>
      <c r="E423" s="10">
        <v>74117.2</v>
      </c>
      <c r="F423" s="10"/>
      <c r="G423" s="126">
        <f>E423/C423*100</f>
        <v>37.058599999999998</v>
      </c>
      <c r="H423" s="126">
        <f>E423/D423*100</f>
        <v>37.058599999999998</v>
      </c>
      <c r="I423" s="126">
        <f t="shared" ref="I423:I425" si="131">E423/J423*100</f>
        <v>37.112320083320604</v>
      </c>
      <c r="J423" s="14">
        <v>199710.5</v>
      </c>
    </row>
    <row r="424" spans="1:10" x14ac:dyDescent="0.2">
      <c r="A424" s="261" t="s">
        <v>423</v>
      </c>
      <c r="B424" s="260" t="s">
        <v>422</v>
      </c>
      <c r="C424" s="259">
        <v>150000</v>
      </c>
      <c r="D424" s="259">
        <v>150000</v>
      </c>
      <c r="E424" s="10">
        <v>0</v>
      </c>
      <c r="F424" s="10"/>
      <c r="G424" s="126">
        <f t="shared" si="127"/>
        <v>0</v>
      </c>
      <c r="H424" s="126">
        <f t="shared" si="125"/>
        <v>0</v>
      </c>
      <c r="I424" s="130">
        <v>0</v>
      </c>
      <c r="J424" s="14">
        <v>0</v>
      </c>
    </row>
    <row r="425" spans="1:10" x14ac:dyDescent="0.2">
      <c r="A425" s="261" t="s">
        <v>415</v>
      </c>
      <c r="B425" s="260" t="s">
        <v>414</v>
      </c>
      <c r="C425" s="259">
        <v>5400000</v>
      </c>
      <c r="D425" s="259">
        <f>5400000+450000</f>
        <v>5850000</v>
      </c>
      <c r="E425" s="10">
        <v>5669331.8499999996</v>
      </c>
      <c r="F425" s="10"/>
      <c r="G425" s="126">
        <f t="shared" si="127"/>
        <v>104.98762685185183</v>
      </c>
      <c r="H425" s="126">
        <f>E425/D425*100</f>
        <v>96.911655555555555</v>
      </c>
      <c r="I425" s="126">
        <f t="shared" si="131"/>
        <v>2525.8211445501324</v>
      </c>
      <c r="J425" s="14">
        <v>224455</v>
      </c>
    </row>
    <row r="426" spans="1:10" x14ac:dyDescent="0.2">
      <c r="A426" s="261" t="s">
        <v>901</v>
      </c>
      <c r="B426" s="278" t="s">
        <v>399</v>
      </c>
      <c r="C426" s="259">
        <v>100000</v>
      </c>
      <c r="D426" s="259">
        <f>100000+80396</f>
        <v>180396</v>
      </c>
      <c r="E426" s="10">
        <v>133410</v>
      </c>
      <c r="F426" s="10"/>
      <c r="G426" s="126">
        <f>E426/C426*100</f>
        <v>133.41</v>
      </c>
      <c r="H426" s="126">
        <f>E426/D426*100</f>
        <v>73.953967937204808</v>
      </c>
      <c r="I426" s="126">
        <v>0</v>
      </c>
      <c r="J426" s="14">
        <v>0</v>
      </c>
    </row>
    <row r="427" spans="1:10" x14ac:dyDescent="0.2">
      <c r="A427" s="261" t="s">
        <v>411</v>
      </c>
      <c r="B427" s="260" t="s">
        <v>410</v>
      </c>
      <c r="C427" s="259">
        <v>550000</v>
      </c>
      <c r="D427" s="259">
        <v>550000</v>
      </c>
      <c r="E427" s="10">
        <v>372746.97</v>
      </c>
      <c r="F427" s="10"/>
      <c r="G427" s="126">
        <f t="shared" si="127"/>
        <v>67.772176363636362</v>
      </c>
      <c r="H427" s="126">
        <f t="shared" si="125"/>
        <v>67.772176363636362</v>
      </c>
      <c r="I427" s="126">
        <v>0</v>
      </c>
      <c r="J427" s="14">
        <v>0</v>
      </c>
    </row>
    <row r="428" spans="1:10" x14ac:dyDescent="0.2">
      <c r="A428" s="261" t="s">
        <v>405</v>
      </c>
      <c r="B428" s="260" t="s">
        <v>404</v>
      </c>
      <c r="C428" s="259">
        <v>130000</v>
      </c>
      <c r="D428" s="259">
        <v>130000</v>
      </c>
      <c r="E428" s="10">
        <v>127000</v>
      </c>
      <c r="F428" s="10"/>
      <c r="G428" s="126">
        <f t="shared" si="127"/>
        <v>97.692307692307693</v>
      </c>
      <c r="H428" s="126">
        <f t="shared" si="125"/>
        <v>97.692307692307693</v>
      </c>
      <c r="I428" s="126">
        <v>0</v>
      </c>
      <c r="J428" s="14">
        <v>0</v>
      </c>
    </row>
    <row r="429" spans="1:10" x14ac:dyDescent="0.2">
      <c r="A429" s="261" t="s">
        <v>956</v>
      </c>
      <c r="B429" s="278" t="s">
        <v>402</v>
      </c>
      <c r="C429" s="272">
        <v>200000</v>
      </c>
      <c r="D429" s="272">
        <v>200000</v>
      </c>
      <c r="E429" s="10">
        <v>49485</v>
      </c>
      <c r="F429" s="10"/>
      <c r="G429" s="126">
        <f t="shared" si="127"/>
        <v>24.7425</v>
      </c>
      <c r="H429" s="126">
        <f t="shared" si="125"/>
        <v>24.7425</v>
      </c>
      <c r="I429" s="126">
        <v>0</v>
      </c>
      <c r="J429" s="14">
        <v>0</v>
      </c>
    </row>
    <row r="430" spans="1:10" x14ac:dyDescent="0.2">
      <c r="A430" s="261" t="s">
        <v>900</v>
      </c>
      <c r="B430" s="278" t="s">
        <v>401</v>
      </c>
      <c r="C430" s="259">
        <v>100000</v>
      </c>
      <c r="D430" s="259">
        <f>100000+95430</f>
        <v>195430</v>
      </c>
      <c r="E430" s="10">
        <v>144527</v>
      </c>
      <c r="F430" s="10"/>
      <c r="G430" s="126">
        <f t="shared" si="127"/>
        <v>144.52700000000002</v>
      </c>
      <c r="H430" s="126">
        <f t="shared" si="125"/>
        <v>73.953333674461447</v>
      </c>
      <c r="I430" s="126">
        <v>0</v>
      </c>
      <c r="J430" s="14">
        <v>0</v>
      </c>
    </row>
    <row r="431" spans="1:10" x14ac:dyDescent="0.2">
      <c r="A431" s="261" t="s">
        <v>957</v>
      </c>
      <c r="B431" s="278" t="s">
        <v>398</v>
      </c>
      <c r="C431" s="259">
        <v>150000</v>
      </c>
      <c r="D431" s="259">
        <v>150000</v>
      </c>
      <c r="E431" s="10">
        <v>40485</v>
      </c>
      <c r="F431" s="10"/>
      <c r="G431" s="126">
        <f t="shared" si="127"/>
        <v>26.99</v>
      </c>
      <c r="H431" s="126">
        <f t="shared" si="125"/>
        <v>26.99</v>
      </c>
      <c r="I431" s="126">
        <v>0</v>
      </c>
      <c r="J431" s="14">
        <v>0</v>
      </c>
    </row>
    <row r="432" spans="1:10" x14ac:dyDescent="0.2">
      <c r="A432" s="261" t="s">
        <v>902</v>
      </c>
      <c r="B432" s="278" t="s">
        <v>396</v>
      </c>
      <c r="C432" s="259">
        <v>100000</v>
      </c>
      <c r="D432" s="259">
        <f>100000+32035</f>
        <v>132035</v>
      </c>
      <c r="E432" s="10">
        <v>106081</v>
      </c>
      <c r="F432" s="10"/>
      <c r="G432" s="126">
        <f>E432/C432*100</f>
        <v>106.081</v>
      </c>
      <c r="H432" s="126">
        <f>E432/D432*100</f>
        <v>80.343090847123861</v>
      </c>
      <c r="I432" s="126">
        <v>0</v>
      </c>
      <c r="J432" s="14">
        <v>0</v>
      </c>
    </row>
    <row r="433" spans="1:10" x14ac:dyDescent="0.2">
      <c r="A433" s="261" t="s">
        <v>419</v>
      </c>
      <c r="B433" s="260" t="s">
        <v>418</v>
      </c>
      <c r="C433" s="259">
        <v>1200000</v>
      </c>
      <c r="D433" s="259">
        <f>1200000-900000-300000</f>
        <v>0</v>
      </c>
      <c r="E433" s="10">
        <v>0</v>
      </c>
      <c r="F433" s="10"/>
      <c r="G433" s="126">
        <f>E433/C433*100</f>
        <v>0</v>
      </c>
      <c r="H433" s="126">
        <v>0</v>
      </c>
      <c r="I433" s="126">
        <v>0</v>
      </c>
      <c r="J433" s="14">
        <v>0</v>
      </c>
    </row>
    <row r="434" spans="1:10" x14ac:dyDescent="0.2">
      <c r="A434" s="261" t="s">
        <v>903</v>
      </c>
      <c r="B434" s="278" t="s">
        <v>400</v>
      </c>
      <c r="C434" s="259">
        <v>100000</v>
      </c>
      <c r="D434" s="259">
        <f>100000+8029</f>
        <v>108029</v>
      </c>
      <c r="E434" s="10">
        <v>86793</v>
      </c>
      <c r="F434" s="10"/>
      <c r="G434" s="126">
        <f>E434/C434*100</f>
        <v>86.792999999999992</v>
      </c>
      <c r="H434" s="126">
        <f>E434/D434*100</f>
        <v>80.342315489359336</v>
      </c>
      <c r="I434" s="126">
        <v>0</v>
      </c>
      <c r="J434" s="14">
        <v>0</v>
      </c>
    </row>
    <row r="435" spans="1:10" x14ac:dyDescent="0.2">
      <c r="A435" s="261" t="s">
        <v>891</v>
      </c>
      <c r="B435" s="278" t="s">
        <v>397</v>
      </c>
      <c r="C435" s="259">
        <v>100000</v>
      </c>
      <c r="D435" s="259">
        <f>100000-100000</f>
        <v>0</v>
      </c>
      <c r="E435" s="10">
        <v>0</v>
      </c>
      <c r="F435" s="10"/>
      <c r="G435" s="126">
        <f t="shared" si="127"/>
        <v>0</v>
      </c>
      <c r="H435" s="126">
        <v>0</v>
      </c>
      <c r="I435" s="126">
        <v>0</v>
      </c>
      <c r="J435" s="14">
        <v>0</v>
      </c>
    </row>
    <row r="436" spans="1:10" x14ac:dyDescent="0.2">
      <c r="A436" s="261" t="s">
        <v>413</v>
      </c>
      <c r="B436" s="260" t="s">
        <v>412</v>
      </c>
      <c r="C436" s="259">
        <v>100000</v>
      </c>
      <c r="D436" s="259">
        <f>100000-100000</f>
        <v>0</v>
      </c>
      <c r="E436" s="10">
        <v>0</v>
      </c>
      <c r="F436" s="10"/>
      <c r="G436" s="126">
        <f>E436/C436*100</f>
        <v>0</v>
      </c>
      <c r="H436" s="126">
        <v>0</v>
      </c>
      <c r="I436" s="126">
        <v>0</v>
      </c>
      <c r="J436" s="14">
        <v>0</v>
      </c>
    </row>
    <row r="437" spans="1:10" x14ac:dyDescent="0.2">
      <c r="A437" s="261" t="s">
        <v>887</v>
      </c>
      <c r="B437" s="260" t="s">
        <v>888</v>
      </c>
      <c r="C437" s="259">
        <v>0</v>
      </c>
      <c r="D437" s="259">
        <v>82280</v>
      </c>
      <c r="E437" s="10">
        <v>82280</v>
      </c>
      <c r="F437" s="10"/>
      <c r="G437" s="126">
        <v>0</v>
      </c>
      <c r="H437" s="126">
        <f t="shared" ref="H437" si="132">E437/D437*100</f>
        <v>100</v>
      </c>
      <c r="I437" s="126">
        <v>0</v>
      </c>
      <c r="J437" s="14">
        <v>0</v>
      </c>
    </row>
    <row r="438" spans="1:10" x14ac:dyDescent="0.2">
      <c r="A438" s="261" t="s">
        <v>958</v>
      </c>
      <c r="B438" s="260" t="s">
        <v>790</v>
      </c>
      <c r="C438" s="259">
        <v>150000</v>
      </c>
      <c r="D438" s="259">
        <v>150000</v>
      </c>
      <c r="E438" s="10">
        <v>5000</v>
      </c>
      <c r="F438" s="10"/>
      <c r="G438" s="126">
        <f t="shared" si="127"/>
        <v>3.3333333333333335</v>
      </c>
      <c r="H438" s="126">
        <f t="shared" si="125"/>
        <v>3.3333333333333335</v>
      </c>
      <c r="I438" s="126">
        <v>0</v>
      </c>
      <c r="J438" s="14">
        <v>0</v>
      </c>
    </row>
    <row r="439" spans="1:10" x14ac:dyDescent="0.2">
      <c r="A439" s="261" t="s">
        <v>959</v>
      </c>
      <c r="B439" s="260" t="s">
        <v>395</v>
      </c>
      <c r="C439" s="259">
        <v>700000</v>
      </c>
      <c r="D439" s="259">
        <f>700000-487000</f>
        <v>213000</v>
      </c>
      <c r="E439" s="10">
        <v>212960</v>
      </c>
      <c r="F439" s="10"/>
      <c r="G439" s="126">
        <f t="shared" si="127"/>
        <v>30.42285714285714</v>
      </c>
      <c r="H439" s="126">
        <f t="shared" si="125"/>
        <v>99.981220657276992</v>
      </c>
      <c r="I439" s="126">
        <v>0</v>
      </c>
      <c r="J439" s="14">
        <v>0</v>
      </c>
    </row>
    <row r="440" spans="1:10" x14ac:dyDescent="0.2">
      <c r="A440" s="271">
        <v>2221</v>
      </c>
      <c r="B440" s="270" t="s">
        <v>393</v>
      </c>
      <c r="C440" s="269">
        <f>SUM(C441:C441)</f>
        <v>60000</v>
      </c>
      <c r="D440" s="269">
        <f>SUM(D441:D441)</f>
        <v>60000</v>
      </c>
      <c r="E440" s="18">
        <v>0</v>
      </c>
      <c r="F440" s="10"/>
      <c r="G440" s="120">
        <f t="shared" si="127"/>
        <v>0</v>
      </c>
      <c r="H440" s="120">
        <f t="shared" si="125"/>
        <v>0</v>
      </c>
      <c r="I440" s="120">
        <f t="shared" ref="I440:I447" si="133">E440/J440*100</f>
        <v>0</v>
      </c>
      <c r="J440" s="14">
        <v>539765.06000000006</v>
      </c>
    </row>
    <row r="441" spans="1:10" ht="13.5" thickBot="1" x14ac:dyDescent="0.25">
      <c r="A441" s="268" t="s">
        <v>960</v>
      </c>
      <c r="B441" s="257" t="s">
        <v>391</v>
      </c>
      <c r="C441" s="256">
        <v>60000</v>
      </c>
      <c r="D441" s="256">
        <v>60000</v>
      </c>
      <c r="E441" s="484">
        <v>0</v>
      </c>
      <c r="F441" s="253"/>
      <c r="G441" s="126">
        <f t="shared" si="127"/>
        <v>0</v>
      </c>
      <c r="H441" s="151">
        <f t="shared" si="125"/>
        <v>0</v>
      </c>
      <c r="I441" s="151">
        <v>0</v>
      </c>
      <c r="J441" s="14">
        <v>0</v>
      </c>
    </row>
    <row r="442" spans="1:10" ht="16.5" thickBot="1" x14ac:dyDescent="0.3">
      <c r="A442" s="267"/>
      <c r="B442" s="266" t="s">
        <v>390</v>
      </c>
      <c r="C442" s="265">
        <f>SUM(C443+C445)</f>
        <v>6295000</v>
      </c>
      <c r="D442" s="265">
        <f>SUM(D443+D445)</f>
        <v>4095000</v>
      </c>
      <c r="E442" s="542">
        <v>1869803.98</v>
      </c>
      <c r="F442" s="708">
        <f>SUM(E443,E445)</f>
        <v>1869803.98</v>
      </c>
      <c r="G442" s="479">
        <f>E442/C442*100</f>
        <v>29.703002065131056</v>
      </c>
      <c r="H442" s="479">
        <f t="shared" si="125"/>
        <v>45.660658852258848</v>
      </c>
      <c r="I442" s="479">
        <f t="shared" si="133"/>
        <v>101.54631497038665</v>
      </c>
      <c r="J442" s="14">
        <v>1841331.2</v>
      </c>
    </row>
    <row r="443" spans="1:10" x14ac:dyDescent="0.2">
      <c r="A443" s="275">
        <v>3613</v>
      </c>
      <c r="B443" s="274" t="s">
        <v>389</v>
      </c>
      <c r="C443" s="273">
        <f>C444</f>
        <v>550000</v>
      </c>
      <c r="D443" s="273">
        <f>D444</f>
        <v>550000</v>
      </c>
      <c r="E443" s="353">
        <v>70840</v>
      </c>
      <c r="F443" s="717"/>
      <c r="G443" s="120">
        <f t="shared" si="127"/>
        <v>12.879999999999999</v>
      </c>
      <c r="H443" s="120">
        <f t="shared" si="125"/>
        <v>12.879999999999999</v>
      </c>
      <c r="I443" s="120">
        <f t="shared" si="133"/>
        <v>622.05830698981379</v>
      </c>
      <c r="J443" s="14">
        <v>11388</v>
      </c>
    </row>
    <row r="444" spans="1:10" x14ac:dyDescent="0.2">
      <c r="A444" s="261" t="s">
        <v>388</v>
      </c>
      <c r="B444" s="260" t="s">
        <v>387</v>
      </c>
      <c r="C444" s="259">
        <v>550000</v>
      </c>
      <c r="D444" s="259">
        <v>550000</v>
      </c>
      <c r="E444" s="545">
        <v>70840</v>
      </c>
      <c r="F444" s="518"/>
      <c r="G444" s="126">
        <f t="shared" si="127"/>
        <v>12.879999999999999</v>
      </c>
      <c r="H444" s="126">
        <f t="shared" ref="H444:H452" si="134">E444/D444*100</f>
        <v>12.879999999999999</v>
      </c>
      <c r="I444" s="126">
        <f t="shared" si="133"/>
        <v>622.05830698981379</v>
      </c>
      <c r="J444" s="14">
        <v>11388</v>
      </c>
    </row>
    <row r="445" spans="1:10" x14ac:dyDescent="0.2">
      <c r="A445" s="271">
        <v>3639</v>
      </c>
      <c r="B445" s="270" t="s">
        <v>386</v>
      </c>
      <c r="C445" s="269">
        <f>SUM(C446:C452)</f>
        <v>5745000</v>
      </c>
      <c r="D445" s="269">
        <f>SUM(D446:D452)</f>
        <v>3545000</v>
      </c>
      <c r="E445" s="254">
        <v>1798963.98</v>
      </c>
      <c r="F445" s="519">
        <f>SUM(E446:E452)</f>
        <v>1798963.98</v>
      </c>
      <c r="G445" s="120">
        <f t="shared" si="127"/>
        <v>31.313559268929502</v>
      </c>
      <c r="H445" s="121">
        <f t="shared" si="134"/>
        <v>50.746515655853322</v>
      </c>
      <c r="I445" s="121">
        <f t="shared" si="133"/>
        <v>98.31783935581781</v>
      </c>
      <c r="J445" s="6">
        <v>1829743.2</v>
      </c>
    </row>
    <row r="446" spans="1:10" x14ac:dyDescent="0.2">
      <c r="A446" s="261" t="s">
        <v>385</v>
      </c>
      <c r="B446" s="260" t="s">
        <v>384</v>
      </c>
      <c r="C446" s="259">
        <v>650000</v>
      </c>
      <c r="D446" s="259">
        <v>650000</v>
      </c>
      <c r="E446" s="543">
        <v>0</v>
      </c>
      <c r="F446" s="544">
        <f>E445-F445</f>
        <v>0</v>
      </c>
      <c r="G446" s="126">
        <f t="shared" si="127"/>
        <v>0</v>
      </c>
      <c r="H446" s="126">
        <f t="shared" si="134"/>
        <v>0</v>
      </c>
      <c r="I446" s="126">
        <v>0</v>
      </c>
      <c r="J446" s="6">
        <v>0</v>
      </c>
    </row>
    <row r="447" spans="1:10" x14ac:dyDescent="0.2">
      <c r="A447" s="261" t="s">
        <v>383</v>
      </c>
      <c r="B447" s="260" t="s">
        <v>382</v>
      </c>
      <c r="C447" s="259">
        <v>20000</v>
      </c>
      <c r="D447" s="259">
        <f>20000+1000+15000</f>
        <v>36000</v>
      </c>
      <c r="E447" s="545">
        <v>35205.730000000003</v>
      </c>
      <c r="F447" s="519"/>
      <c r="G447" s="126">
        <f t="shared" si="127"/>
        <v>176.02865</v>
      </c>
      <c r="H447" s="126">
        <f t="shared" si="134"/>
        <v>97.793694444444455</v>
      </c>
      <c r="I447" s="126">
        <f t="shared" si="133"/>
        <v>276.82792676262335</v>
      </c>
      <c r="J447" s="14">
        <v>12717.55</v>
      </c>
    </row>
    <row r="448" spans="1:10" x14ac:dyDescent="0.2">
      <c r="A448" s="261" t="s">
        <v>381</v>
      </c>
      <c r="B448" s="260" t="s">
        <v>980</v>
      </c>
      <c r="C448" s="259">
        <v>20000</v>
      </c>
      <c r="D448" s="259">
        <v>20000</v>
      </c>
      <c r="E448" s="546">
        <v>0</v>
      </c>
      <c r="F448" s="253"/>
      <c r="G448" s="126">
        <f t="shared" si="127"/>
        <v>0</v>
      </c>
      <c r="H448" s="126">
        <f t="shared" si="134"/>
        <v>0</v>
      </c>
      <c r="I448" s="126">
        <v>0</v>
      </c>
      <c r="J448" s="14">
        <v>0</v>
      </c>
    </row>
    <row r="449" spans="1:10" x14ac:dyDescent="0.2">
      <c r="A449" s="261" t="s">
        <v>379</v>
      </c>
      <c r="B449" s="260" t="s">
        <v>378</v>
      </c>
      <c r="C449" s="259">
        <v>470000</v>
      </c>
      <c r="D449" s="259">
        <f>470000-43000</f>
        <v>427000</v>
      </c>
      <c r="E449" s="250">
        <v>227177.5</v>
      </c>
      <c r="F449" s="249"/>
      <c r="G449" s="126">
        <f t="shared" si="127"/>
        <v>48.335638297872343</v>
      </c>
      <c r="H449" s="126">
        <f t="shared" si="134"/>
        <v>53.203161592505857</v>
      </c>
      <c r="I449" s="117">
        <v>0</v>
      </c>
      <c r="J449" s="14">
        <v>0</v>
      </c>
    </row>
    <row r="450" spans="1:10" ht="48" x14ac:dyDescent="0.2">
      <c r="A450" s="261" t="s">
        <v>377</v>
      </c>
      <c r="B450" s="277" t="s">
        <v>376</v>
      </c>
      <c r="C450" s="259">
        <v>4540000</v>
      </c>
      <c r="D450" s="259">
        <f>4540000-700000-1500000-59000-15000</f>
        <v>2266000</v>
      </c>
      <c r="E450" s="209">
        <v>1390945.75</v>
      </c>
      <c r="F450" s="209"/>
      <c r="G450" s="126">
        <f t="shared" si="127"/>
        <v>30.637571585903085</v>
      </c>
      <c r="H450" s="130">
        <f t="shared" si="134"/>
        <v>61.383307590467787</v>
      </c>
      <c r="I450" s="130">
        <f t="shared" ref="I450:I453" si="135">E450/J450*100</f>
        <v>76.686212122059999</v>
      </c>
      <c r="J450" s="6">
        <v>1813814.65</v>
      </c>
    </row>
    <row r="451" spans="1:10" x14ac:dyDescent="0.2">
      <c r="A451" s="261" t="s">
        <v>375</v>
      </c>
      <c r="B451" s="260" t="s">
        <v>374</v>
      </c>
      <c r="C451" s="259">
        <v>45000</v>
      </c>
      <c r="D451" s="259">
        <f>45000+42000</f>
        <v>87000</v>
      </c>
      <c r="E451" s="492">
        <v>86635</v>
      </c>
      <c r="F451" s="493"/>
      <c r="G451" s="126">
        <f t="shared" ref="G451" si="136">E451/C451*100</f>
        <v>192.52222222222221</v>
      </c>
      <c r="H451" s="126">
        <f t="shared" si="134"/>
        <v>99.580459770114942</v>
      </c>
      <c r="I451" s="126">
        <f t="shared" ref="I451" si="137">E451/J451*100</f>
        <v>2539.871005570214</v>
      </c>
      <c r="J451" s="6">
        <v>3411</v>
      </c>
    </row>
    <row r="452" spans="1:10" ht="13.5" thickBot="1" x14ac:dyDescent="0.25">
      <c r="A452" s="261" t="s">
        <v>1078</v>
      </c>
      <c r="B452" s="260" t="s">
        <v>1079</v>
      </c>
      <c r="C452" s="259">
        <v>0</v>
      </c>
      <c r="D452" s="259">
        <v>59000</v>
      </c>
      <c r="E452" s="492">
        <v>59000</v>
      </c>
      <c r="F452" s="493"/>
      <c r="G452" s="126">
        <v>0</v>
      </c>
      <c r="H452" s="126">
        <f t="shared" si="134"/>
        <v>100</v>
      </c>
      <c r="I452" s="126">
        <v>0</v>
      </c>
      <c r="J452" s="6">
        <v>0</v>
      </c>
    </row>
    <row r="453" spans="1:10" ht="16.5" thickBot="1" x14ac:dyDescent="0.3">
      <c r="A453" s="267"/>
      <c r="B453" s="266" t="s">
        <v>373</v>
      </c>
      <c r="C453" s="276">
        <f>SUM(C454,C457,C461,C468)</f>
        <v>63726000</v>
      </c>
      <c r="D453" s="276">
        <f>SUM(D454,D457,D461,D468)</f>
        <v>27872000</v>
      </c>
      <c r="E453" s="43">
        <v>21212262.109999999</v>
      </c>
      <c r="F453" s="707">
        <f>SUM(E454,E457,E461,E468)</f>
        <v>21212262.110000003</v>
      </c>
      <c r="G453" s="479">
        <f>E453/C453*100</f>
        <v>33.286668094655241</v>
      </c>
      <c r="H453" s="479">
        <f t="shared" ref="H453" si="138">E453/D453*100</f>
        <v>76.105992070895525</v>
      </c>
      <c r="I453" s="479">
        <f t="shared" si="135"/>
        <v>571.52137214432082</v>
      </c>
      <c r="J453" s="14">
        <v>3711543.11</v>
      </c>
    </row>
    <row r="454" spans="1:10" x14ac:dyDescent="0.2">
      <c r="A454" s="275">
        <v>3412</v>
      </c>
      <c r="B454" s="274" t="s">
        <v>372</v>
      </c>
      <c r="C454" s="273">
        <f>SUM(C455:C456)</f>
        <v>2500000</v>
      </c>
      <c r="D454" s="273">
        <f>SUM(D455:D456)</f>
        <v>646000</v>
      </c>
      <c r="E454" s="24">
        <v>0</v>
      </c>
      <c r="F454" s="9">
        <f>SUM(E455:E456)</f>
        <v>0</v>
      </c>
      <c r="G454" s="120">
        <f t="shared" ref="G454:G474" si="139">E454/C454*100</f>
        <v>0</v>
      </c>
      <c r="H454" s="120">
        <f>E454/D454*100</f>
        <v>0</v>
      </c>
      <c r="I454" s="120">
        <v>0</v>
      </c>
      <c r="J454" s="6">
        <v>0</v>
      </c>
    </row>
    <row r="455" spans="1:10" x14ac:dyDescent="0.2">
      <c r="A455" s="261" t="s">
        <v>961</v>
      </c>
      <c r="B455" s="260" t="s">
        <v>371</v>
      </c>
      <c r="C455" s="259">
        <v>500000</v>
      </c>
      <c r="D455" s="259">
        <v>500000</v>
      </c>
      <c r="E455" s="9">
        <v>0</v>
      </c>
      <c r="F455" s="9"/>
      <c r="G455" s="126">
        <f t="shared" si="139"/>
        <v>0</v>
      </c>
      <c r="H455" s="126">
        <f>E455/D455*100</f>
        <v>0</v>
      </c>
      <c r="I455" s="126">
        <v>0</v>
      </c>
      <c r="J455" s="14">
        <v>0</v>
      </c>
    </row>
    <row r="456" spans="1:10" x14ac:dyDescent="0.2">
      <c r="A456" s="261" t="s">
        <v>962</v>
      </c>
      <c r="B456" s="260" t="s">
        <v>369</v>
      </c>
      <c r="C456" s="259">
        <v>2000000</v>
      </c>
      <c r="D456" s="259">
        <f>2000000-1854000</f>
        <v>146000</v>
      </c>
      <c r="E456" s="10">
        <v>0</v>
      </c>
      <c r="F456" s="10"/>
      <c r="G456" s="126">
        <f t="shared" si="139"/>
        <v>0</v>
      </c>
      <c r="H456" s="126">
        <f>E456/D456*100</f>
        <v>0</v>
      </c>
      <c r="I456" s="126">
        <v>0</v>
      </c>
      <c r="J456" s="14">
        <v>0</v>
      </c>
    </row>
    <row r="457" spans="1:10" x14ac:dyDescent="0.2">
      <c r="A457" s="271">
        <v>3613</v>
      </c>
      <c r="B457" s="270" t="s">
        <v>368</v>
      </c>
      <c r="C457" s="269">
        <f>SUM(C458:C460)</f>
        <v>8010000</v>
      </c>
      <c r="D457" s="269">
        <f>SUM(D458:D460)</f>
        <v>2010000</v>
      </c>
      <c r="E457" s="18">
        <v>1782568.28</v>
      </c>
      <c r="F457" s="10">
        <f>SUM(E458:E460)</f>
        <v>1782568.28</v>
      </c>
      <c r="G457" s="120">
        <f t="shared" si="139"/>
        <v>22.254285642946318</v>
      </c>
      <c r="H457" s="120">
        <f t="shared" ref="H457:H471" si="140">E457/D457*100</f>
        <v>88.684989054726373</v>
      </c>
      <c r="I457" s="120">
        <f t="shared" ref="I457:I465" si="141">E457/J457*100</f>
        <v>555.51201380770772</v>
      </c>
      <c r="J457" s="14">
        <v>320887.44</v>
      </c>
    </row>
    <row r="458" spans="1:10" x14ac:dyDescent="0.2">
      <c r="A458" s="261" t="s">
        <v>367</v>
      </c>
      <c r="B458" s="260" t="s">
        <v>366</v>
      </c>
      <c r="C458" s="259">
        <v>200000</v>
      </c>
      <c r="D458" s="259">
        <v>200000</v>
      </c>
      <c r="E458" s="10">
        <v>0</v>
      </c>
      <c r="F458" s="10"/>
      <c r="G458" s="126">
        <f t="shared" si="139"/>
        <v>0</v>
      </c>
      <c r="H458" s="126">
        <f t="shared" si="140"/>
        <v>0</v>
      </c>
      <c r="I458" s="126">
        <v>0</v>
      </c>
      <c r="J458" s="14">
        <v>22400</v>
      </c>
    </row>
    <row r="459" spans="1:10" x14ac:dyDescent="0.2">
      <c r="A459" s="261" t="s">
        <v>365</v>
      </c>
      <c r="B459" s="260" t="s">
        <v>364</v>
      </c>
      <c r="C459" s="259">
        <v>10000</v>
      </c>
      <c r="D459" s="259">
        <v>10000</v>
      </c>
      <c r="E459" s="10">
        <v>0</v>
      </c>
      <c r="F459" s="10"/>
      <c r="G459" s="126">
        <f t="shared" si="139"/>
        <v>0</v>
      </c>
      <c r="H459" s="126">
        <f t="shared" si="140"/>
        <v>0</v>
      </c>
      <c r="I459" s="126">
        <v>0</v>
      </c>
      <c r="J459" s="14">
        <v>38000</v>
      </c>
    </row>
    <row r="460" spans="1:10" x14ac:dyDescent="0.2">
      <c r="A460" s="261" t="s">
        <v>363</v>
      </c>
      <c r="B460" s="260" t="s">
        <v>362</v>
      </c>
      <c r="C460" s="259">
        <v>7800000</v>
      </c>
      <c r="D460" s="259">
        <f>7800000-6000000</f>
        <v>1800000</v>
      </c>
      <c r="E460" s="10">
        <v>1782568.28</v>
      </c>
      <c r="F460" s="10"/>
      <c r="G460" s="126">
        <f t="shared" si="139"/>
        <v>22.853439487179489</v>
      </c>
      <c r="H460" s="126">
        <f t="shared" si="140"/>
        <v>99.03157111111112</v>
      </c>
      <c r="I460" s="126">
        <f t="shared" si="141"/>
        <v>947.44669574078296</v>
      </c>
      <c r="J460" s="14">
        <v>188144.44</v>
      </c>
    </row>
    <row r="461" spans="1:10" x14ac:dyDescent="0.2">
      <c r="A461" s="271">
        <v>3631</v>
      </c>
      <c r="B461" s="270" t="s">
        <v>361</v>
      </c>
      <c r="C461" s="269">
        <f>SUM(C462:C467)</f>
        <v>10716000</v>
      </c>
      <c r="D461" s="269">
        <f>SUM(D462:D467)</f>
        <v>7716000</v>
      </c>
      <c r="E461" s="547">
        <v>1972666.82</v>
      </c>
      <c r="F461" s="11">
        <f>SUM(E462:E467)</f>
        <v>1972666.82</v>
      </c>
      <c r="G461" s="120">
        <f t="shared" si="139"/>
        <v>18.40861160880926</v>
      </c>
      <c r="H461" s="120">
        <f t="shared" si="140"/>
        <v>25.565925609123902</v>
      </c>
      <c r="I461" s="120">
        <f t="shared" si="141"/>
        <v>93.884521542995572</v>
      </c>
      <c r="J461" s="14">
        <v>2101162.9900000002</v>
      </c>
    </row>
    <row r="462" spans="1:10" x14ac:dyDescent="0.2">
      <c r="A462" s="261" t="s">
        <v>360</v>
      </c>
      <c r="B462" s="260" t="s">
        <v>359</v>
      </c>
      <c r="C462" s="259">
        <v>6600000</v>
      </c>
      <c r="D462" s="259">
        <f>6600000-1000000-2000000</f>
        <v>3600000</v>
      </c>
      <c r="E462" s="10">
        <v>122114</v>
      </c>
      <c r="F462" s="11"/>
      <c r="G462" s="126">
        <f t="shared" si="139"/>
        <v>1.8502121212121212</v>
      </c>
      <c r="H462" s="126">
        <f t="shared" si="140"/>
        <v>3.3920555555555558</v>
      </c>
      <c r="I462" s="126">
        <v>0</v>
      </c>
      <c r="J462" s="14">
        <v>0</v>
      </c>
    </row>
    <row r="463" spans="1:10" x14ac:dyDescent="0.2">
      <c r="A463" s="261" t="s">
        <v>358</v>
      </c>
      <c r="B463" s="260" t="s">
        <v>357</v>
      </c>
      <c r="C463" s="259">
        <v>1400000</v>
      </c>
      <c r="D463" s="259">
        <f>1400000-60000</f>
        <v>1340000</v>
      </c>
      <c r="E463" s="9">
        <v>687759.99</v>
      </c>
      <c r="F463" s="9"/>
      <c r="G463" s="126">
        <f t="shared" si="139"/>
        <v>49.12571357142857</v>
      </c>
      <c r="H463" s="126">
        <f t="shared" si="140"/>
        <v>51.325372388059698</v>
      </c>
      <c r="I463" s="126">
        <f t="shared" si="141"/>
        <v>1159.9932366334963</v>
      </c>
      <c r="J463" s="14">
        <v>59290</v>
      </c>
    </row>
    <row r="464" spans="1:10" x14ac:dyDescent="0.2">
      <c r="A464" s="261" t="s">
        <v>356</v>
      </c>
      <c r="B464" s="260" t="s">
        <v>355</v>
      </c>
      <c r="C464" s="259">
        <v>1466000</v>
      </c>
      <c r="D464" s="259">
        <v>1466000</v>
      </c>
      <c r="E464" s="104">
        <v>65945</v>
      </c>
      <c r="F464" s="104"/>
      <c r="G464" s="126">
        <f t="shared" si="139"/>
        <v>4.4982946793997272</v>
      </c>
      <c r="H464" s="130">
        <f t="shared" si="140"/>
        <v>4.4982946793997272</v>
      </c>
      <c r="I464" s="130">
        <v>0</v>
      </c>
      <c r="J464" s="14">
        <v>0</v>
      </c>
    </row>
    <row r="465" spans="1:735" x14ac:dyDescent="0.2">
      <c r="A465" s="261" t="s">
        <v>354</v>
      </c>
      <c r="B465" s="260" t="s">
        <v>353</v>
      </c>
      <c r="C465" s="259">
        <v>1200000</v>
      </c>
      <c r="D465" s="259">
        <v>1200000</v>
      </c>
      <c r="E465" s="186">
        <v>1062042.02</v>
      </c>
      <c r="F465" s="186"/>
      <c r="G465" s="126">
        <f t="shared" si="139"/>
        <v>88.503501666666679</v>
      </c>
      <c r="H465" s="126">
        <f t="shared" si="140"/>
        <v>88.503501666666679</v>
      </c>
      <c r="I465" s="126">
        <f t="shared" si="141"/>
        <v>1874.1100006105614</v>
      </c>
      <c r="J465" s="14">
        <v>56669.14</v>
      </c>
    </row>
    <row r="466" spans="1:735" x14ac:dyDescent="0.2">
      <c r="A466" s="261" t="s">
        <v>352</v>
      </c>
      <c r="B466" s="260" t="s">
        <v>351</v>
      </c>
      <c r="C466" s="272">
        <v>50000</v>
      </c>
      <c r="D466" s="272">
        <v>50000</v>
      </c>
      <c r="E466" s="130">
        <v>6050</v>
      </c>
      <c r="F466" s="208"/>
      <c r="G466" s="126">
        <f t="shared" si="139"/>
        <v>12.1</v>
      </c>
      <c r="H466" s="126">
        <f t="shared" si="140"/>
        <v>12.1</v>
      </c>
      <c r="I466" s="126">
        <v>0</v>
      </c>
      <c r="J466" s="14">
        <v>0</v>
      </c>
    </row>
    <row r="467" spans="1:735" x14ac:dyDescent="0.2">
      <c r="A467" s="261" t="s">
        <v>963</v>
      </c>
      <c r="B467" s="260" t="s">
        <v>908</v>
      </c>
      <c r="C467" s="272">
        <v>0</v>
      </c>
      <c r="D467" s="272">
        <v>60000</v>
      </c>
      <c r="E467" s="130">
        <v>28755.81</v>
      </c>
      <c r="F467" s="208"/>
      <c r="G467" s="126">
        <v>0</v>
      </c>
      <c r="H467" s="126">
        <f t="shared" si="140"/>
        <v>47.926349999999999</v>
      </c>
      <c r="I467" s="126">
        <v>0</v>
      </c>
      <c r="J467" s="14">
        <v>0</v>
      </c>
    </row>
    <row r="468" spans="1:735" x14ac:dyDescent="0.2">
      <c r="A468" s="271">
        <v>3633</v>
      </c>
      <c r="B468" s="270" t="s">
        <v>350</v>
      </c>
      <c r="C468" s="269">
        <f>SUM(C469:C470)</f>
        <v>42500000</v>
      </c>
      <c r="D468" s="269">
        <f>SUM(D469:D470)</f>
        <v>17500000</v>
      </c>
      <c r="E468" s="491">
        <v>17457027.010000002</v>
      </c>
      <c r="F468" s="209">
        <f>SUM(E469:E470)</f>
        <v>17457027.010000002</v>
      </c>
      <c r="G468" s="120">
        <f t="shared" si="139"/>
        <v>41.07535767058824</v>
      </c>
      <c r="H468" s="120">
        <f t="shared" si="140"/>
        <v>99.754440057142872</v>
      </c>
      <c r="I468" s="120">
        <f t="shared" ref="I468:I471" si="142">E468/J468*100</f>
        <v>4260.866819133721</v>
      </c>
      <c r="J468" s="6">
        <v>409706</v>
      </c>
    </row>
    <row r="469" spans="1:735" x14ac:dyDescent="0.2">
      <c r="A469" s="261" t="s">
        <v>349</v>
      </c>
      <c r="B469" s="260" t="s">
        <v>348</v>
      </c>
      <c r="C469" s="259">
        <v>1500000</v>
      </c>
      <c r="D469" s="259">
        <f>1500000-1500000</f>
        <v>0</v>
      </c>
      <c r="E469" s="210">
        <v>0</v>
      </c>
      <c r="F469" s="209"/>
      <c r="G469" s="126">
        <f t="shared" si="139"/>
        <v>0</v>
      </c>
      <c r="H469" s="126">
        <v>0</v>
      </c>
      <c r="I469" s="126">
        <v>0</v>
      </c>
      <c r="J469" s="14">
        <v>24200</v>
      </c>
    </row>
    <row r="470" spans="1:735" ht="13.5" thickBot="1" x14ac:dyDescent="0.25">
      <c r="A470" s="261" t="s">
        <v>347</v>
      </c>
      <c r="B470" s="260" t="s">
        <v>346</v>
      </c>
      <c r="C470" s="259">
        <v>41000000</v>
      </c>
      <c r="D470" s="259">
        <f>41000000-8000000-18000000+1500000+1000000</f>
        <v>17500000</v>
      </c>
      <c r="E470" s="210">
        <v>17457027.010000002</v>
      </c>
      <c r="F470" s="209"/>
      <c r="G470" s="126">
        <f t="shared" si="139"/>
        <v>42.578114658536585</v>
      </c>
      <c r="H470" s="126">
        <f t="shared" si="140"/>
        <v>99.754440057142872</v>
      </c>
      <c r="I470" s="126">
        <f t="shared" si="142"/>
        <v>15028.43234331956</v>
      </c>
      <c r="J470" s="14">
        <v>116160</v>
      </c>
    </row>
    <row r="471" spans="1:735" ht="16.5" thickBot="1" x14ac:dyDescent="0.3">
      <c r="A471" s="267"/>
      <c r="B471" s="266" t="s">
        <v>345</v>
      </c>
      <c r="C471" s="265">
        <f>SUM(C472:C475)</f>
        <v>472500</v>
      </c>
      <c r="D471" s="265">
        <f>SUM(D472:D475)</f>
        <v>172500</v>
      </c>
      <c r="E471" s="43">
        <v>138147</v>
      </c>
      <c r="F471" s="707">
        <f>SUM(E472:E474)</f>
        <v>138147</v>
      </c>
      <c r="G471" s="479">
        <f>E471/C471*100</f>
        <v>29.237460317460318</v>
      </c>
      <c r="H471" s="479">
        <f t="shared" si="140"/>
        <v>80.085217391304354</v>
      </c>
      <c r="I471" s="479">
        <f t="shared" si="142"/>
        <v>65.534629981024679</v>
      </c>
      <c r="J471" s="6">
        <v>210800</v>
      </c>
    </row>
    <row r="472" spans="1:735" x14ac:dyDescent="0.2">
      <c r="A472" s="264" t="s">
        <v>344</v>
      </c>
      <c r="B472" s="263" t="s">
        <v>343</v>
      </c>
      <c r="C472" s="262">
        <v>150000</v>
      </c>
      <c r="D472" s="262">
        <f>150000-150000</f>
        <v>0</v>
      </c>
      <c r="E472" s="492">
        <v>0</v>
      </c>
      <c r="F472" s="9"/>
      <c r="G472" s="126">
        <f t="shared" si="139"/>
        <v>0</v>
      </c>
      <c r="H472" s="126">
        <v>0</v>
      </c>
      <c r="I472" s="126">
        <v>0</v>
      </c>
      <c r="J472" s="14">
        <v>60800</v>
      </c>
    </row>
    <row r="473" spans="1:735" x14ac:dyDescent="0.2">
      <c r="A473" s="261" t="s">
        <v>342</v>
      </c>
      <c r="B473" s="260" t="s">
        <v>341</v>
      </c>
      <c r="C473" s="259">
        <v>150000</v>
      </c>
      <c r="D473" s="259">
        <f>150000-150000</f>
        <v>0</v>
      </c>
      <c r="E473" s="10">
        <v>0</v>
      </c>
      <c r="F473" s="10"/>
      <c r="G473" s="126">
        <f t="shared" si="139"/>
        <v>0</v>
      </c>
      <c r="H473" s="126">
        <v>0</v>
      </c>
      <c r="I473" s="126">
        <v>0</v>
      </c>
      <c r="J473" s="14">
        <v>0</v>
      </c>
    </row>
    <row r="474" spans="1:735" x14ac:dyDescent="0.2">
      <c r="A474" s="261" t="s">
        <v>340</v>
      </c>
      <c r="B474" s="260" t="s">
        <v>339</v>
      </c>
      <c r="C474" s="259">
        <v>172500</v>
      </c>
      <c r="D474" s="259">
        <v>172500</v>
      </c>
      <c r="E474" s="210">
        <v>138147</v>
      </c>
      <c r="F474" s="10"/>
      <c r="G474" s="126">
        <f t="shared" si="139"/>
        <v>80.085217391304354</v>
      </c>
      <c r="H474" s="126">
        <f t="shared" ref="H474" si="143">E474/D474*100</f>
        <v>80.085217391304354</v>
      </c>
      <c r="I474" s="126">
        <f t="shared" ref="I474" si="144">E474/J474*100</f>
        <v>92.097999999999999</v>
      </c>
      <c r="J474" s="14">
        <v>150000</v>
      </c>
    </row>
    <row r="475" spans="1:735" ht="13.5" thickBot="1" x14ac:dyDescent="0.25">
      <c r="A475" s="258"/>
      <c r="B475" s="257"/>
      <c r="C475" s="256"/>
      <c r="D475" s="256"/>
      <c r="E475" s="11"/>
      <c r="F475" s="11"/>
      <c r="G475" s="151"/>
      <c r="H475" s="151"/>
      <c r="I475" s="151"/>
      <c r="J475" s="14"/>
    </row>
    <row r="476" spans="1:735" ht="21" thickBot="1" x14ac:dyDescent="0.25">
      <c r="A476" s="255"/>
      <c r="B476" s="243" t="s">
        <v>338</v>
      </c>
      <c r="C476" s="242">
        <f>SUM(C477:C479)</f>
        <v>3640000</v>
      </c>
      <c r="D476" s="242">
        <f>SUM(D477:D479)</f>
        <v>2714871</v>
      </c>
      <c r="E476" s="48">
        <v>2636838</v>
      </c>
      <c r="F476" s="709">
        <f>SUM(E477:E479)</f>
        <v>2636838</v>
      </c>
      <c r="G476" s="571">
        <f>E476/C476*100</f>
        <v>72.440604395604396</v>
      </c>
      <c r="H476" s="181">
        <f>E476/D476*100</f>
        <v>97.125719785580984</v>
      </c>
      <c r="I476" s="181">
        <f>E476/J476*100</f>
        <v>65.649977420447897</v>
      </c>
      <c r="J476" s="6">
        <v>4016510.14</v>
      </c>
    </row>
    <row r="477" spans="1:735" ht="31.5" customHeight="1" x14ac:dyDescent="0.2">
      <c r="A477" s="248">
        <v>2141</v>
      </c>
      <c r="B477" s="175" t="s">
        <v>337</v>
      </c>
      <c r="C477" s="120">
        <v>950000</v>
      </c>
      <c r="D477" s="120">
        <f>950000-810000+2000000</f>
        <v>2140000</v>
      </c>
      <c r="E477" s="494">
        <v>2061967</v>
      </c>
      <c r="F477" s="208"/>
      <c r="G477" s="120">
        <f t="shared" ref="G477:G479" si="145">E477/C477*100</f>
        <v>217.04915789473685</v>
      </c>
      <c r="H477" s="120">
        <f t="shared" ref="H477:H478" si="146">E477/D477*100</f>
        <v>96.353598130841121</v>
      </c>
      <c r="I477" s="120">
        <f t="shared" ref="I477:I478" si="147">E477/J477*100</f>
        <v>98.044948631993364</v>
      </c>
      <c r="J477" s="6">
        <v>2103083.36</v>
      </c>
    </row>
    <row r="478" spans="1:735" x14ac:dyDescent="0.2">
      <c r="A478" s="20">
        <v>3341</v>
      </c>
      <c r="B478" s="123" t="s">
        <v>336</v>
      </c>
      <c r="C478" s="120">
        <v>2670000</v>
      </c>
      <c r="D478" s="120">
        <f>2670000-2095129</f>
        <v>574871</v>
      </c>
      <c r="E478" s="494">
        <v>574871</v>
      </c>
      <c r="F478" s="208"/>
      <c r="G478" s="120">
        <f t="shared" si="145"/>
        <v>21.530749063670413</v>
      </c>
      <c r="H478" s="120">
        <f t="shared" si="146"/>
        <v>100</v>
      </c>
      <c r="I478" s="120">
        <f t="shared" si="147"/>
        <v>67.332529846716767</v>
      </c>
      <c r="J478" s="14">
        <v>853779</v>
      </c>
    </row>
    <row r="479" spans="1:735" x14ac:dyDescent="0.2">
      <c r="A479" s="180">
        <v>3399</v>
      </c>
      <c r="B479" s="123" t="s">
        <v>335</v>
      </c>
      <c r="C479" s="120">
        <v>20000</v>
      </c>
      <c r="D479" s="120">
        <f>20000-20000</f>
        <v>0</v>
      </c>
      <c r="E479" s="494">
        <v>0</v>
      </c>
      <c r="F479" s="208"/>
      <c r="G479" s="120">
        <f t="shared" si="145"/>
        <v>0</v>
      </c>
      <c r="H479" s="120">
        <v>0</v>
      </c>
      <c r="I479" s="120">
        <v>0</v>
      </c>
      <c r="J479" s="14">
        <v>539.78</v>
      </c>
    </row>
    <row r="480" spans="1:735" s="17" customFormat="1" ht="12.75" customHeight="1" thickBot="1" x14ac:dyDescent="0.3">
      <c r="A480" s="252"/>
      <c r="B480" s="251"/>
      <c r="C480" s="117"/>
      <c r="D480" s="117"/>
      <c r="E480" s="117"/>
      <c r="F480" s="352"/>
      <c r="G480" s="151"/>
      <c r="H480" s="151"/>
      <c r="I480" s="151"/>
      <c r="J480" s="14"/>
      <c r="K480" s="579"/>
      <c r="L480" s="579"/>
      <c r="M480" s="220"/>
      <c r="N480" s="579"/>
      <c r="O480" s="579"/>
      <c r="P480" s="579"/>
      <c r="Q480" s="579"/>
      <c r="R480" s="579"/>
      <c r="S480" s="579"/>
      <c r="T480" s="579"/>
      <c r="U480" s="579"/>
      <c r="V480" s="579"/>
      <c r="W480" s="579"/>
      <c r="X480" s="579"/>
      <c r="Y480" s="579"/>
      <c r="Z480" s="579"/>
      <c r="AA480" s="579"/>
      <c r="AB480" s="579"/>
      <c r="AC480" s="579"/>
      <c r="AD480" s="579"/>
      <c r="AE480" s="579"/>
      <c r="AF480" s="579"/>
      <c r="AG480" s="579"/>
      <c r="AH480" s="579"/>
      <c r="AI480" s="579"/>
      <c r="AJ480" s="579"/>
      <c r="AK480" s="579"/>
      <c r="AL480" s="579"/>
      <c r="AM480" s="579"/>
      <c r="AN480" s="579"/>
      <c r="AO480" s="579"/>
      <c r="AP480" s="579"/>
      <c r="AQ480" s="579"/>
      <c r="AR480" s="579"/>
      <c r="AS480" s="579"/>
      <c r="AT480" s="579"/>
      <c r="AU480" s="579"/>
      <c r="AV480" s="579"/>
      <c r="AW480" s="579"/>
      <c r="AX480" s="579"/>
      <c r="AY480" s="579"/>
      <c r="AZ480" s="579"/>
      <c r="BA480" s="579"/>
      <c r="BB480" s="579"/>
      <c r="BC480" s="579"/>
      <c r="BD480" s="579"/>
      <c r="BE480" s="579"/>
      <c r="BF480" s="579"/>
      <c r="BG480" s="579"/>
      <c r="BH480" s="579"/>
      <c r="BI480" s="579"/>
      <c r="BJ480" s="579"/>
      <c r="BK480" s="579"/>
      <c r="BL480" s="579"/>
      <c r="BM480" s="579"/>
      <c r="BN480" s="579"/>
      <c r="BO480" s="579"/>
      <c r="BP480" s="579"/>
      <c r="BQ480" s="579"/>
      <c r="BR480" s="579"/>
      <c r="BS480" s="579"/>
      <c r="BT480" s="579"/>
      <c r="BU480" s="579"/>
      <c r="BV480" s="579"/>
      <c r="BW480" s="579"/>
      <c r="BX480" s="579"/>
      <c r="BY480" s="579"/>
      <c r="BZ480" s="579"/>
      <c r="CA480" s="579"/>
      <c r="CB480" s="579"/>
      <c r="CC480" s="579"/>
      <c r="CD480" s="579"/>
      <c r="CE480" s="579"/>
      <c r="CF480" s="579"/>
      <c r="CG480" s="579"/>
      <c r="CH480" s="579"/>
      <c r="CI480" s="579"/>
      <c r="CJ480" s="579"/>
      <c r="CK480" s="579"/>
      <c r="CL480" s="579"/>
      <c r="CM480" s="579"/>
      <c r="CN480" s="579"/>
      <c r="CO480" s="579"/>
      <c r="CP480" s="579"/>
      <c r="CQ480" s="579"/>
      <c r="CR480" s="579"/>
      <c r="CS480" s="579"/>
      <c r="CT480" s="579"/>
      <c r="CU480" s="579"/>
      <c r="CV480" s="579"/>
      <c r="CW480" s="579"/>
      <c r="CX480" s="579"/>
      <c r="CY480" s="579"/>
      <c r="CZ480" s="579"/>
      <c r="DA480" s="579"/>
      <c r="DB480" s="579"/>
      <c r="DC480" s="579"/>
      <c r="DD480" s="579"/>
      <c r="DE480" s="579"/>
      <c r="DF480" s="579"/>
      <c r="DG480" s="579"/>
      <c r="DH480" s="579"/>
      <c r="DI480" s="579"/>
      <c r="DJ480" s="579"/>
      <c r="DK480" s="579"/>
      <c r="DL480" s="579"/>
      <c r="DM480" s="579"/>
      <c r="DN480" s="579"/>
      <c r="DO480" s="579"/>
      <c r="DP480" s="579"/>
      <c r="DQ480" s="579"/>
      <c r="DR480" s="579"/>
      <c r="DS480" s="579"/>
      <c r="DT480" s="579"/>
      <c r="DU480" s="579"/>
      <c r="DV480" s="579"/>
      <c r="DW480" s="579"/>
      <c r="DX480" s="579"/>
      <c r="DY480" s="579"/>
      <c r="DZ480" s="579"/>
      <c r="EA480" s="579"/>
      <c r="EB480" s="579"/>
      <c r="EC480" s="579"/>
      <c r="ED480" s="579"/>
      <c r="EE480" s="579"/>
      <c r="EF480" s="579"/>
      <c r="EG480" s="579"/>
      <c r="EH480" s="579"/>
      <c r="EI480" s="579"/>
      <c r="EJ480" s="579"/>
      <c r="EK480" s="579"/>
      <c r="EL480" s="579"/>
      <c r="EM480" s="579"/>
      <c r="EN480" s="579"/>
      <c r="EO480" s="579"/>
      <c r="EP480" s="579"/>
      <c r="EQ480" s="579"/>
      <c r="ER480" s="579"/>
      <c r="ES480" s="579"/>
      <c r="ET480" s="579"/>
      <c r="EU480" s="579"/>
      <c r="EV480" s="579"/>
      <c r="EW480" s="579"/>
      <c r="EX480" s="579"/>
      <c r="EY480" s="579"/>
      <c r="EZ480" s="579"/>
      <c r="FA480" s="579"/>
      <c r="FB480" s="579"/>
      <c r="FC480" s="579"/>
      <c r="FD480" s="579"/>
      <c r="FE480" s="579"/>
      <c r="FF480" s="579"/>
      <c r="FG480" s="579"/>
      <c r="FH480" s="579"/>
      <c r="FI480" s="579"/>
      <c r="FJ480" s="579"/>
      <c r="FK480" s="579"/>
      <c r="FL480" s="579"/>
      <c r="FM480" s="579"/>
      <c r="FN480" s="579"/>
      <c r="FO480" s="579"/>
      <c r="FP480" s="579"/>
      <c r="FQ480" s="579"/>
      <c r="FR480" s="579"/>
      <c r="FS480" s="579"/>
      <c r="FT480" s="579"/>
      <c r="FU480" s="579"/>
      <c r="FV480" s="579"/>
      <c r="FW480" s="579"/>
      <c r="FX480" s="579"/>
      <c r="FY480" s="579"/>
      <c r="FZ480" s="579"/>
      <c r="GA480" s="579"/>
      <c r="GB480" s="579"/>
      <c r="GC480" s="579"/>
      <c r="GD480" s="579"/>
      <c r="GE480" s="579"/>
      <c r="GF480" s="579"/>
      <c r="GG480" s="579"/>
      <c r="GH480" s="579"/>
      <c r="GI480" s="579"/>
      <c r="GJ480" s="579"/>
      <c r="GK480" s="579"/>
      <c r="GL480" s="579"/>
      <c r="GM480" s="579"/>
      <c r="GN480" s="579"/>
      <c r="GO480" s="579"/>
      <c r="GP480" s="579"/>
      <c r="GQ480" s="579"/>
      <c r="GR480" s="579"/>
      <c r="GS480" s="579"/>
      <c r="GT480" s="579"/>
      <c r="GU480" s="579"/>
      <c r="GV480" s="579"/>
      <c r="GW480" s="579"/>
      <c r="GX480" s="579"/>
      <c r="GY480" s="579"/>
      <c r="GZ480" s="579"/>
      <c r="HA480" s="579"/>
      <c r="HB480" s="579"/>
      <c r="HC480" s="579"/>
      <c r="HD480" s="579"/>
      <c r="HE480" s="579"/>
      <c r="HF480" s="579"/>
      <c r="HG480" s="579"/>
      <c r="HH480" s="579"/>
      <c r="HI480" s="579"/>
      <c r="HJ480" s="579"/>
      <c r="HK480" s="579"/>
      <c r="HL480" s="579"/>
      <c r="HM480" s="579"/>
      <c r="HN480" s="579"/>
      <c r="HO480" s="579"/>
      <c r="HP480" s="579"/>
      <c r="HQ480" s="579"/>
      <c r="HR480" s="579"/>
      <c r="HS480" s="579"/>
      <c r="HT480" s="579"/>
      <c r="HU480" s="579"/>
      <c r="HV480" s="579"/>
      <c r="HW480" s="579"/>
      <c r="HX480" s="579"/>
      <c r="HY480" s="579"/>
      <c r="HZ480" s="579"/>
      <c r="IA480" s="579"/>
      <c r="IB480" s="579"/>
      <c r="IC480" s="579"/>
      <c r="ID480" s="579"/>
      <c r="IE480" s="579"/>
      <c r="IF480" s="579"/>
      <c r="IG480" s="579"/>
      <c r="IH480" s="579"/>
      <c r="II480" s="579"/>
      <c r="IJ480" s="579"/>
      <c r="IK480" s="579"/>
      <c r="IL480" s="579"/>
      <c r="IM480" s="579"/>
      <c r="IN480" s="579"/>
      <c r="IO480" s="579"/>
      <c r="IP480" s="579"/>
      <c r="IQ480" s="579"/>
      <c r="IR480" s="579"/>
      <c r="IS480" s="579"/>
      <c r="IT480" s="579"/>
      <c r="IU480" s="579"/>
      <c r="IV480" s="579"/>
      <c r="IW480" s="579"/>
      <c r="IX480" s="579"/>
      <c r="IY480" s="579"/>
      <c r="IZ480" s="579"/>
      <c r="JA480" s="579"/>
      <c r="JB480" s="579"/>
      <c r="JC480" s="579"/>
      <c r="JD480" s="579"/>
      <c r="JE480" s="579"/>
      <c r="JF480" s="579"/>
      <c r="JG480" s="579"/>
      <c r="JH480" s="579"/>
      <c r="JI480" s="579"/>
      <c r="JJ480" s="579"/>
      <c r="JK480" s="579"/>
      <c r="JL480" s="579"/>
      <c r="JM480" s="579"/>
      <c r="JN480" s="579"/>
      <c r="JO480" s="579"/>
      <c r="JP480" s="579"/>
      <c r="JQ480" s="579"/>
      <c r="JR480" s="579"/>
      <c r="JS480" s="579"/>
      <c r="JT480" s="579"/>
      <c r="JU480" s="579"/>
      <c r="JV480" s="579"/>
      <c r="JW480" s="579"/>
      <c r="JX480" s="579"/>
      <c r="JY480" s="579"/>
      <c r="JZ480" s="579"/>
      <c r="KA480" s="579"/>
      <c r="KB480" s="579"/>
      <c r="KC480" s="579"/>
      <c r="KD480" s="579"/>
      <c r="KE480" s="579"/>
      <c r="KF480" s="579"/>
      <c r="KG480" s="579"/>
      <c r="KH480" s="579"/>
      <c r="KI480" s="579"/>
      <c r="KJ480" s="579"/>
      <c r="KK480" s="579"/>
      <c r="KL480" s="579"/>
      <c r="KM480" s="579"/>
      <c r="KN480" s="579"/>
      <c r="KO480" s="579"/>
      <c r="KP480" s="579"/>
      <c r="KQ480" s="579"/>
      <c r="KR480" s="579"/>
      <c r="KS480" s="579"/>
      <c r="KT480" s="579"/>
      <c r="KU480" s="579"/>
      <c r="KV480" s="579"/>
      <c r="KW480" s="579"/>
      <c r="KX480" s="579"/>
      <c r="KY480" s="579"/>
      <c r="KZ480" s="579"/>
      <c r="LA480" s="579"/>
      <c r="LB480" s="579"/>
      <c r="LC480" s="579"/>
      <c r="LD480" s="579"/>
      <c r="LE480" s="579"/>
      <c r="LF480" s="579"/>
      <c r="LG480" s="579"/>
      <c r="LH480" s="579"/>
      <c r="LI480" s="579"/>
      <c r="LJ480" s="579"/>
      <c r="LK480" s="579"/>
      <c r="LL480" s="579"/>
      <c r="LM480" s="579"/>
      <c r="LN480" s="579"/>
      <c r="LO480" s="579"/>
      <c r="LP480" s="579"/>
      <c r="LQ480" s="579"/>
      <c r="LR480" s="579"/>
      <c r="LS480" s="579"/>
      <c r="LT480" s="579"/>
      <c r="LU480" s="579"/>
      <c r="LV480" s="579"/>
      <c r="LW480" s="579"/>
      <c r="LX480" s="579"/>
      <c r="LY480" s="579"/>
      <c r="LZ480" s="579"/>
      <c r="MA480" s="579"/>
      <c r="MB480" s="579"/>
      <c r="MC480" s="579"/>
      <c r="MD480" s="579"/>
      <c r="ME480" s="579"/>
      <c r="MF480" s="579"/>
      <c r="MG480" s="579"/>
      <c r="MH480" s="579"/>
      <c r="MI480" s="579"/>
      <c r="MJ480" s="579"/>
      <c r="MK480" s="579"/>
      <c r="ML480" s="579"/>
      <c r="MM480" s="579"/>
      <c r="MN480" s="579"/>
      <c r="MO480" s="579"/>
      <c r="MP480" s="579"/>
      <c r="MQ480" s="579"/>
      <c r="MR480" s="579"/>
      <c r="MS480" s="579"/>
      <c r="MT480" s="579"/>
      <c r="MU480" s="579"/>
      <c r="MV480" s="579"/>
      <c r="MW480" s="579"/>
      <c r="MX480" s="579"/>
      <c r="MY480" s="579"/>
      <c r="MZ480" s="579"/>
      <c r="NA480" s="579"/>
      <c r="NB480" s="579"/>
      <c r="NC480" s="579"/>
      <c r="ND480" s="579"/>
      <c r="NE480" s="579"/>
      <c r="NF480" s="579"/>
      <c r="NG480" s="579"/>
      <c r="NH480" s="579"/>
      <c r="NI480" s="579"/>
      <c r="NJ480" s="579"/>
      <c r="NK480" s="579"/>
      <c r="NL480" s="579"/>
      <c r="NM480" s="579"/>
      <c r="NN480" s="579"/>
      <c r="NO480" s="579"/>
      <c r="NP480" s="579"/>
      <c r="NQ480" s="579"/>
      <c r="NR480" s="579"/>
      <c r="NS480" s="579"/>
      <c r="NT480" s="579"/>
      <c r="NU480" s="579"/>
      <c r="NV480" s="579"/>
      <c r="NW480" s="579"/>
      <c r="NX480" s="579"/>
      <c r="NY480" s="579"/>
      <c r="NZ480" s="579"/>
      <c r="OA480" s="579"/>
      <c r="OB480" s="579"/>
      <c r="OC480" s="579"/>
      <c r="OD480" s="579"/>
      <c r="OE480" s="579"/>
      <c r="OF480" s="579"/>
      <c r="OG480" s="579"/>
      <c r="OH480" s="579"/>
      <c r="OI480" s="579"/>
      <c r="OJ480" s="579"/>
      <c r="OK480" s="579"/>
      <c r="OL480" s="579"/>
      <c r="OM480" s="579"/>
      <c r="ON480" s="579"/>
      <c r="OO480" s="579"/>
      <c r="OP480" s="579"/>
      <c r="OQ480" s="579"/>
      <c r="OR480" s="579"/>
      <c r="OS480" s="579"/>
      <c r="OT480" s="579"/>
      <c r="OU480" s="579"/>
      <c r="OV480" s="579"/>
      <c r="OW480" s="579"/>
      <c r="OX480" s="579"/>
      <c r="OY480" s="579"/>
      <c r="OZ480" s="579"/>
      <c r="PA480" s="579"/>
      <c r="PB480" s="579"/>
      <c r="PC480" s="579"/>
      <c r="PD480" s="579"/>
      <c r="PE480" s="579"/>
      <c r="PF480" s="579"/>
      <c r="PG480" s="579"/>
      <c r="PH480" s="579"/>
      <c r="PI480" s="579"/>
      <c r="PJ480" s="579"/>
      <c r="PK480" s="579"/>
      <c r="PL480" s="579"/>
      <c r="PM480" s="579"/>
      <c r="PN480" s="579"/>
      <c r="PO480" s="579"/>
      <c r="PP480" s="579"/>
      <c r="PQ480" s="579"/>
      <c r="PR480" s="579"/>
      <c r="PS480" s="579"/>
      <c r="PT480" s="579"/>
      <c r="PU480" s="579"/>
      <c r="PV480" s="579"/>
      <c r="PW480" s="579"/>
      <c r="PX480" s="579"/>
      <c r="PY480" s="579"/>
      <c r="PZ480" s="579"/>
      <c r="QA480" s="579"/>
      <c r="QB480" s="579"/>
      <c r="QC480" s="579"/>
      <c r="QD480" s="579"/>
      <c r="QE480" s="579"/>
      <c r="QF480" s="579"/>
      <c r="QG480" s="579"/>
      <c r="QH480" s="579"/>
      <c r="QI480" s="579"/>
      <c r="QJ480" s="579"/>
      <c r="QK480" s="579"/>
      <c r="QL480" s="579"/>
      <c r="QM480" s="579"/>
      <c r="QN480" s="579"/>
      <c r="QO480" s="579"/>
      <c r="QP480" s="579"/>
      <c r="QQ480" s="579"/>
      <c r="QR480" s="579"/>
      <c r="QS480" s="579"/>
      <c r="QT480" s="579"/>
      <c r="QU480" s="579"/>
      <c r="QV480" s="579"/>
      <c r="QW480" s="579"/>
      <c r="QX480" s="579"/>
      <c r="QY480" s="579"/>
      <c r="QZ480" s="579"/>
      <c r="RA480" s="579"/>
      <c r="RB480" s="579"/>
      <c r="RC480" s="579"/>
      <c r="RD480" s="579"/>
      <c r="RE480" s="579"/>
      <c r="RF480" s="579"/>
      <c r="RG480" s="579"/>
      <c r="RH480" s="579"/>
      <c r="RI480" s="579"/>
      <c r="RJ480" s="579"/>
      <c r="RK480" s="579"/>
      <c r="RL480" s="579"/>
      <c r="RM480" s="579"/>
      <c r="RN480" s="579"/>
      <c r="RO480" s="579"/>
      <c r="RP480" s="579"/>
      <c r="RQ480" s="579"/>
      <c r="RR480" s="579"/>
      <c r="RS480" s="579"/>
      <c r="RT480" s="579"/>
      <c r="RU480" s="579"/>
      <c r="RV480" s="579"/>
      <c r="RW480" s="579"/>
      <c r="RX480" s="579"/>
      <c r="RY480" s="579"/>
      <c r="RZ480" s="579"/>
      <c r="SA480" s="579"/>
      <c r="SB480" s="579"/>
      <c r="SC480" s="579"/>
      <c r="SD480" s="579"/>
      <c r="SE480" s="579"/>
      <c r="SF480" s="579"/>
      <c r="SG480" s="579"/>
      <c r="SH480" s="579"/>
      <c r="SI480" s="579"/>
      <c r="SJ480" s="579"/>
      <c r="SK480" s="579"/>
      <c r="SL480" s="579"/>
      <c r="SM480" s="579"/>
      <c r="SN480" s="579"/>
      <c r="SO480" s="579"/>
      <c r="SP480" s="579"/>
      <c r="SQ480" s="579"/>
      <c r="SR480" s="579"/>
      <c r="SS480" s="579"/>
      <c r="ST480" s="579"/>
      <c r="SU480" s="579"/>
      <c r="SV480" s="579"/>
      <c r="SW480" s="579"/>
      <c r="SX480" s="579"/>
      <c r="SY480" s="579"/>
      <c r="SZ480" s="579"/>
      <c r="TA480" s="579"/>
      <c r="TB480" s="579"/>
      <c r="TC480" s="579"/>
      <c r="TD480" s="579"/>
      <c r="TE480" s="579"/>
      <c r="TF480" s="579"/>
      <c r="TG480" s="579"/>
      <c r="TH480" s="579"/>
      <c r="TI480" s="579"/>
      <c r="TJ480" s="579"/>
      <c r="TK480" s="579"/>
      <c r="TL480" s="579"/>
      <c r="TM480" s="579"/>
      <c r="TN480" s="579"/>
      <c r="TO480" s="579"/>
      <c r="TP480" s="579"/>
      <c r="TQ480" s="579"/>
      <c r="TR480" s="579"/>
      <c r="TS480" s="579"/>
      <c r="TT480" s="579"/>
      <c r="TU480" s="579"/>
      <c r="TV480" s="579"/>
      <c r="TW480" s="579"/>
      <c r="TX480" s="579"/>
      <c r="TY480" s="579"/>
      <c r="TZ480" s="579"/>
      <c r="UA480" s="579"/>
      <c r="UB480" s="579"/>
      <c r="UC480" s="579"/>
      <c r="UD480" s="579"/>
      <c r="UE480" s="579"/>
      <c r="UF480" s="579"/>
      <c r="UG480" s="579"/>
      <c r="UH480" s="579"/>
      <c r="UI480" s="579"/>
      <c r="UJ480" s="579"/>
      <c r="UK480" s="579"/>
      <c r="UL480" s="579"/>
      <c r="UM480" s="579"/>
      <c r="UN480" s="579"/>
      <c r="UO480" s="579"/>
      <c r="UP480" s="579"/>
      <c r="UQ480" s="579"/>
      <c r="UR480" s="579"/>
      <c r="US480" s="579"/>
      <c r="UT480" s="579"/>
      <c r="UU480" s="579"/>
      <c r="UV480" s="579"/>
      <c r="UW480" s="579"/>
      <c r="UX480" s="579"/>
      <c r="UY480" s="579"/>
      <c r="UZ480" s="579"/>
      <c r="VA480" s="579"/>
      <c r="VB480" s="579"/>
      <c r="VC480" s="579"/>
      <c r="VD480" s="579"/>
      <c r="VE480" s="579"/>
      <c r="VF480" s="579"/>
      <c r="VG480" s="579"/>
      <c r="VH480" s="579"/>
      <c r="VI480" s="579"/>
      <c r="VJ480" s="579"/>
      <c r="VK480" s="579"/>
      <c r="VL480" s="579"/>
      <c r="VM480" s="579"/>
      <c r="VN480" s="579"/>
      <c r="VO480" s="579"/>
      <c r="VP480" s="579"/>
      <c r="VQ480" s="579"/>
      <c r="VR480" s="579"/>
      <c r="VS480" s="579"/>
      <c r="VT480" s="579"/>
      <c r="VU480" s="579"/>
      <c r="VV480" s="579"/>
      <c r="VW480" s="579"/>
      <c r="VX480" s="579"/>
      <c r="VY480" s="579"/>
      <c r="VZ480" s="579"/>
      <c r="WA480" s="579"/>
      <c r="WB480" s="579"/>
      <c r="WC480" s="579"/>
      <c r="WD480" s="579"/>
      <c r="WE480" s="579"/>
      <c r="WF480" s="579"/>
      <c r="WG480" s="579"/>
      <c r="WH480" s="579"/>
      <c r="WI480" s="579"/>
      <c r="WJ480" s="579"/>
      <c r="WK480" s="579"/>
      <c r="WL480" s="579"/>
      <c r="WM480" s="579"/>
      <c r="WN480" s="579"/>
      <c r="WO480" s="579"/>
      <c r="WP480" s="579"/>
      <c r="WQ480" s="579"/>
      <c r="WR480" s="579"/>
      <c r="WS480" s="579"/>
      <c r="WT480" s="579"/>
      <c r="WU480" s="579"/>
      <c r="WV480" s="579"/>
      <c r="WW480" s="579"/>
      <c r="WX480" s="579"/>
      <c r="WY480" s="579"/>
      <c r="WZ480" s="579"/>
      <c r="XA480" s="579"/>
      <c r="XB480" s="579"/>
      <c r="XC480" s="579"/>
      <c r="XD480" s="579"/>
      <c r="XE480" s="579"/>
      <c r="XF480" s="579"/>
      <c r="XG480" s="579"/>
      <c r="XH480" s="579"/>
      <c r="XI480" s="579"/>
      <c r="XJ480" s="579"/>
      <c r="XK480" s="579"/>
      <c r="XL480" s="579"/>
      <c r="XM480" s="579"/>
      <c r="XN480" s="579"/>
      <c r="XO480" s="579"/>
      <c r="XP480" s="579"/>
      <c r="XQ480" s="579"/>
      <c r="XR480" s="579"/>
      <c r="XS480" s="579"/>
      <c r="XT480" s="579"/>
      <c r="XU480" s="579"/>
      <c r="XV480" s="579"/>
      <c r="XW480" s="579"/>
      <c r="XX480" s="579"/>
      <c r="XY480" s="579"/>
      <c r="XZ480" s="579"/>
      <c r="YA480" s="579"/>
      <c r="YB480" s="579"/>
      <c r="YC480" s="579"/>
      <c r="YD480" s="579"/>
      <c r="YE480" s="579"/>
      <c r="YF480" s="579"/>
      <c r="YG480" s="579"/>
      <c r="YH480" s="579"/>
      <c r="YI480" s="579"/>
      <c r="YJ480" s="579"/>
      <c r="YK480" s="579"/>
      <c r="YL480" s="579"/>
      <c r="YM480" s="579"/>
      <c r="YN480" s="579"/>
      <c r="YO480" s="579"/>
      <c r="YP480" s="579"/>
      <c r="YQ480" s="579"/>
      <c r="YR480" s="579"/>
      <c r="YS480" s="579"/>
      <c r="YT480" s="579"/>
      <c r="YU480" s="579"/>
      <c r="YV480" s="579"/>
      <c r="YW480" s="579"/>
      <c r="YX480" s="579"/>
      <c r="YY480" s="579"/>
      <c r="YZ480" s="579"/>
      <c r="ZA480" s="579"/>
      <c r="ZB480" s="579"/>
      <c r="ZC480" s="579"/>
      <c r="ZD480" s="579"/>
      <c r="ZE480" s="579"/>
      <c r="ZF480" s="579"/>
      <c r="ZG480" s="579"/>
      <c r="ZH480" s="579"/>
      <c r="ZI480" s="579"/>
      <c r="ZJ480" s="579"/>
      <c r="ZK480" s="579"/>
      <c r="ZL480" s="579"/>
      <c r="ZM480" s="579"/>
      <c r="ZN480" s="579"/>
      <c r="ZO480" s="579"/>
      <c r="ZP480" s="579"/>
      <c r="ZQ480" s="579"/>
      <c r="ZR480" s="579"/>
      <c r="ZS480" s="579"/>
      <c r="ZT480" s="579"/>
      <c r="ZU480" s="579"/>
      <c r="ZV480" s="579"/>
      <c r="ZW480" s="579"/>
      <c r="ZX480" s="579"/>
      <c r="ZY480" s="579"/>
      <c r="ZZ480" s="579"/>
      <c r="AAA480" s="579"/>
      <c r="AAB480" s="579"/>
      <c r="AAC480" s="579"/>
      <c r="AAD480" s="579"/>
      <c r="AAE480" s="579"/>
      <c r="AAF480" s="579"/>
      <c r="AAG480" s="579"/>
      <c r="AAH480" s="579"/>
      <c r="AAI480" s="579"/>
      <c r="AAJ480" s="579"/>
      <c r="AAK480" s="579"/>
      <c r="AAL480" s="579"/>
      <c r="AAM480" s="579"/>
      <c r="AAN480" s="579"/>
      <c r="AAO480" s="579"/>
      <c r="AAP480" s="579"/>
      <c r="AAQ480" s="579"/>
      <c r="AAR480" s="579"/>
      <c r="AAS480" s="579"/>
      <c r="AAT480" s="579"/>
      <c r="AAU480" s="579"/>
      <c r="AAV480" s="579"/>
      <c r="AAW480" s="579"/>
      <c r="AAX480" s="579"/>
      <c r="AAY480" s="579"/>
      <c r="AAZ480" s="579"/>
      <c r="ABA480" s="579"/>
      <c r="ABB480" s="579"/>
      <c r="ABC480" s="579"/>
      <c r="ABD480" s="579"/>
      <c r="ABE480" s="579"/>
      <c r="ABF480" s="579"/>
      <c r="ABG480" s="579"/>
    </row>
    <row r="481" spans="1:735" s="246" customFormat="1" ht="21" thickBot="1" x14ac:dyDescent="0.35">
      <c r="A481" s="230"/>
      <c r="B481" s="139" t="s">
        <v>334</v>
      </c>
      <c r="C481" s="242">
        <f>SUM(C482:C485)</f>
        <v>10752956</v>
      </c>
      <c r="D481" s="242">
        <f>SUM(D482:D485)</f>
        <v>9451752</v>
      </c>
      <c r="E481" s="242">
        <v>8746727.4499999993</v>
      </c>
      <c r="F481" s="705">
        <f>SUM(E482:E485)</f>
        <v>8746727.4500000011</v>
      </c>
      <c r="G481" s="571">
        <f>E481/C481*100</f>
        <v>81.342539205033475</v>
      </c>
      <c r="H481" s="181">
        <f>E481/D481*100</f>
        <v>92.540805662272973</v>
      </c>
      <c r="I481" s="181">
        <f>E481/J481*100</f>
        <v>100.01127943306638</v>
      </c>
      <c r="J481" s="14">
        <v>8745740.9800000004</v>
      </c>
      <c r="K481" s="220"/>
      <c r="L481" s="220"/>
      <c r="M481" s="220"/>
      <c r="N481" s="220"/>
      <c r="O481" s="220"/>
      <c r="P481" s="220"/>
      <c r="Q481" s="220"/>
      <c r="R481" s="220"/>
      <c r="S481" s="220"/>
      <c r="T481" s="220"/>
      <c r="U481" s="220"/>
      <c r="V481" s="220"/>
      <c r="W481" s="220"/>
      <c r="X481" s="220"/>
      <c r="Y481" s="220"/>
      <c r="Z481" s="220"/>
      <c r="AA481" s="220"/>
      <c r="AB481" s="220"/>
      <c r="AC481" s="220"/>
      <c r="AD481" s="220"/>
      <c r="AE481" s="220"/>
      <c r="AF481" s="220"/>
      <c r="AG481" s="220"/>
      <c r="AH481" s="220"/>
      <c r="AI481" s="220"/>
      <c r="AJ481" s="220"/>
      <c r="AK481" s="220"/>
      <c r="AL481" s="220"/>
      <c r="AM481" s="220"/>
      <c r="AN481" s="220"/>
      <c r="AO481" s="220"/>
      <c r="AP481" s="220"/>
      <c r="AQ481" s="220"/>
      <c r="AR481" s="220"/>
      <c r="AS481" s="220"/>
      <c r="AT481" s="220"/>
      <c r="AU481" s="220"/>
      <c r="AV481" s="220"/>
      <c r="AW481" s="220"/>
      <c r="AX481" s="220"/>
      <c r="AY481" s="220"/>
      <c r="AZ481" s="220"/>
      <c r="BA481" s="220"/>
      <c r="BB481" s="220"/>
      <c r="BC481" s="220"/>
      <c r="BD481" s="220"/>
      <c r="BE481" s="220"/>
      <c r="BF481" s="220"/>
      <c r="BG481" s="220"/>
      <c r="BH481" s="220"/>
      <c r="BI481" s="220"/>
      <c r="BJ481" s="220"/>
      <c r="BK481" s="220"/>
      <c r="BL481" s="220"/>
      <c r="BM481" s="220"/>
      <c r="BN481" s="220"/>
      <c r="BO481" s="220"/>
      <c r="BP481" s="220"/>
      <c r="BQ481" s="220"/>
      <c r="BR481" s="220"/>
      <c r="BS481" s="220"/>
      <c r="BT481" s="220"/>
      <c r="BU481" s="220"/>
      <c r="BV481" s="220"/>
      <c r="BW481" s="220"/>
      <c r="BX481" s="220"/>
      <c r="BY481" s="220"/>
      <c r="BZ481" s="220"/>
      <c r="CA481" s="220"/>
      <c r="CB481" s="220"/>
      <c r="CC481" s="220"/>
      <c r="CD481" s="220"/>
      <c r="CE481" s="220"/>
      <c r="CF481" s="220"/>
      <c r="CG481" s="220"/>
      <c r="CH481" s="220"/>
      <c r="CI481" s="220"/>
      <c r="CJ481" s="220"/>
      <c r="CK481" s="220"/>
      <c r="CL481" s="220"/>
      <c r="CM481" s="220"/>
      <c r="CN481" s="220"/>
      <c r="CO481" s="220"/>
      <c r="CP481" s="220"/>
      <c r="CQ481" s="220"/>
      <c r="CR481" s="220"/>
      <c r="CS481" s="220"/>
      <c r="CT481" s="220"/>
      <c r="CU481" s="220"/>
      <c r="CV481" s="220"/>
      <c r="CW481" s="220"/>
      <c r="CX481" s="220"/>
      <c r="CY481" s="220"/>
      <c r="CZ481" s="220"/>
      <c r="DA481" s="220"/>
      <c r="DB481" s="220"/>
      <c r="DC481" s="220"/>
      <c r="DD481" s="220"/>
      <c r="DE481" s="220"/>
      <c r="DF481" s="220"/>
      <c r="DG481" s="220"/>
      <c r="DH481" s="220"/>
      <c r="DI481" s="220"/>
      <c r="DJ481" s="220"/>
      <c r="DK481" s="220"/>
      <c r="DL481" s="220"/>
      <c r="DM481" s="220"/>
      <c r="DN481" s="220"/>
      <c r="DO481" s="220"/>
      <c r="DP481" s="220"/>
      <c r="DQ481" s="220"/>
      <c r="DR481" s="220"/>
      <c r="DS481" s="220"/>
      <c r="DT481" s="220"/>
      <c r="DU481" s="220"/>
      <c r="DV481" s="220"/>
      <c r="DW481" s="220"/>
      <c r="DX481" s="220"/>
      <c r="DY481" s="220"/>
      <c r="DZ481" s="220"/>
      <c r="EA481" s="220"/>
      <c r="EB481" s="220"/>
      <c r="EC481" s="220"/>
      <c r="ED481" s="220"/>
      <c r="EE481" s="220"/>
      <c r="EF481" s="220"/>
      <c r="EG481" s="220"/>
      <c r="EH481" s="220"/>
      <c r="EI481" s="220"/>
      <c r="EJ481" s="220"/>
      <c r="EK481" s="220"/>
      <c r="EL481" s="220"/>
      <c r="EM481" s="220"/>
      <c r="EN481" s="220"/>
      <c r="EO481" s="220"/>
      <c r="EP481" s="220"/>
      <c r="EQ481" s="220"/>
      <c r="ER481" s="220"/>
      <c r="ES481" s="220"/>
      <c r="ET481" s="220"/>
      <c r="EU481" s="220"/>
      <c r="EV481" s="220"/>
      <c r="EW481" s="220"/>
      <c r="EX481" s="220"/>
      <c r="EY481" s="220"/>
      <c r="EZ481" s="220"/>
      <c r="FA481" s="220"/>
      <c r="FB481" s="220"/>
      <c r="FC481" s="220"/>
      <c r="FD481" s="220"/>
      <c r="FE481" s="220"/>
      <c r="FF481" s="220"/>
      <c r="FG481" s="220"/>
      <c r="FH481" s="220"/>
      <c r="FI481" s="220"/>
      <c r="FJ481" s="220"/>
      <c r="FK481" s="220"/>
      <c r="FL481" s="220"/>
      <c r="FM481" s="220"/>
      <c r="FN481" s="220"/>
      <c r="FO481" s="220"/>
      <c r="FP481" s="220"/>
      <c r="FQ481" s="220"/>
      <c r="FR481" s="220"/>
      <c r="FS481" s="220"/>
      <c r="FT481" s="220"/>
      <c r="FU481" s="220"/>
      <c r="FV481" s="220"/>
      <c r="FW481" s="220"/>
      <c r="FX481" s="220"/>
      <c r="FY481" s="220"/>
      <c r="FZ481" s="220"/>
      <c r="GA481" s="220"/>
      <c r="GB481" s="220"/>
      <c r="GC481" s="220"/>
      <c r="GD481" s="220"/>
      <c r="GE481" s="220"/>
      <c r="GF481" s="220"/>
      <c r="GG481" s="220"/>
      <c r="GH481" s="220"/>
      <c r="GI481" s="220"/>
      <c r="GJ481" s="220"/>
      <c r="GK481" s="220"/>
      <c r="GL481" s="220"/>
      <c r="GM481" s="220"/>
      <c r="GN481" s="220"/>
      <c r="GO481" s="220"/>
      <c r="GP481" s="220"/>
      <c r="GQ481" s="220"/>
      <c r="GR481" s="220"/>
      <c r="GS481" s="220"/>
      <c r="GT481" s="220"/>
      <c r="GU481" s="220"/>
      <c r="GV481" s="220"/>
      <c r="GW481" s="220"/>
      <c r="GX481" s="220"/>
      <c r="GY481" s="220"/>
      <c r="GZ481" s="220"/>
      <c r="HA481" s="220"/>
      <c r="HB481" s="220"/>
      <c r="HC481" s="220"/>
      <c r="HD481" s="220"/>
      <c r="HE481" s="220"/>
      <c r="HF481" s="220"/>
      <c r="HG481" s="220"/>
      <c r="HH481" s="220"/>
      <c r="HI481" s="220"/>
      <c r="HJ481" s="220"/>
      <c r="HK481" s="220"/>
      <c r="HL481" s="220"/>
      <c r="HM481" s="220"/>
      <c r="HN481" s="220"/>
      <c r="HO481" s="220"/>
      <c r="HP481" s="220"/>
      <c r="HQ481" s="220"/>
      <c r="HR481" s="220"/>
      <c r="HS481" s="220"/>
      <c r="HT481" s="220"/>
      <c r="HU481" s="220"/>
      <c r="HV481" s="220"/>
      <c r="HW481" s="220"/>
      <c r="HX481" s="220"/>
      <c r="HY481" s="220"/>
      <c r="HZ481" s="220"/>
      <c r="IA481" s="220"/>
      <c r="IB481" s="220"/>
      <c r="IC481" s="220"/>
      <c r="ID481" s="220"/>
      <c r="IE481" s="220"/>
      <c r="IF481" s="220"/>
      <c r="IG481" s="220"/>
      <c r="IH481" s="220"/>
      <c r="II481" s="220"/>
      <c r="IJ481" s="220"/>
      <c r="IK481" s="220"/>
      <c r="IL481" s="220"/>
      <c r="IM481" s="220"/>
      <c r="IN481" s="220"/>
      <c r="IO481" s="220"/>
      <c r="IP481" s="220"/>
      <c r="IQ481" s="220"/>
      <c r="IR481" s="220"/>
      <c r="IS481" s="220"/>
      <c r="IT481" s="220"/>
      <c r="IU481" s="220"/>
      <c r="IV481" s="220"/>
      <c r="IW481" s="220"/>
      <c r="IX481" s="220"/>
      <c r="IY481" s="220"/>
      <c r="IZ481" s="220"/>
      <c r="JA481" s="220"/>
      <c r="JB481" s="220"/>
      <c r="JC481" s="220"/>
      <c r="JD481" s="220"/>
      <c r="JE481" s="220"/>
      <c r="JF481" s="220"/>
      <c r="JG481" s="220"/>
      <c r="JH481" s="220"/>
      <c r="JI481" s="220"/>
      <c r="JJ481" s="220"/>
      <c r="JK481" s="220"/>
      <c r="JL481" s="220"/>
      <c r="JM481" s="220"/>
      <c r="JN481" s="220"/>
      <c r="JO481" s="220"/>
      <c r="JP481" s="220"/>
      <c r="JQ481" s="220"/>
      <c r="JR481" s="220"/>
      <c r="JS481" s="220"/>
      <c r="JT481" s="220"/>
      <c r="JU481" s="220"/>
      <c r="JV481" s="220"/>
      <c r="JW481" s="220"/>
      <c r="JX481" s="220"/>
      <c r="JY481" s="220"/>
      <c r="JZ481" s="220"/>
      <c r="KA481" s="220"/>
      <c r="KB481" s="220"/>
      <c r="KC481" s="220"/>
      <c r="KD481" s="220"/>
      <c r="KE481" s="220"/>
      <c r="KF481" s="220"/>
      <c r="KG481" s="220"/>
      <c r="KH481" s="220"/>
      <c r="KI481" s="220"/>
      <c r="KJ481" s="220"/>
      <c r="KK481" s="220"/>
      <c r="KL481" s="220"/>
      <c r="KM481" s="220"/>
      <c r="KN481" s="220"/>
      <c r="KO481" s="220"/>
      <c r="KP481" s="220"/>
      <c r="KQ481" s="220"/>
      <c r="KR481" s="220"/>
      <c r="KS481" s="220"/>
      <c r="KT481" s="220"/>
      <c r="KU481" s="220"/>
      <c r="KV481" s="220"/>
      <c r="KW481" s="220"/>
      <c r="KX481" s="220"/>
      <c r="KY481" s="220"/>
      <c r="KZ481" s="220"/>
      <c r="LA481" s="220"/>
      <c r="LB481" s="220"/>
      <c r="LC481" s="220"/>
      <c r="LD481" s="220"/>
      <c r="LE481" s="220"/>
      <c r="LF481" s="220"/>
      <c r="LG481" s="220"/>
      <c r="LH481" s="220"/>
      <c r="LI481" s="220"/>
      <c r="LJ481" s="220"/>
      <c r="LK481" s="220"/>
      <c r="LL481" s="220"/>
      <c r="LM481" s="220"/>
      <c r="LN481" s="220"/>
      <c r="LO481" s="220"/>
      <c r="LP481" s="220"/>
      <c r="LQ481" s="220"/>
      <c r="LR481" s="220"/>
      <c r="LS481" s="220"/>
      <c r="LT481" s="220"/>
      <c r="LU481" s="220"/>
      <c r="LV481" s="220"/>
      <c r="LW481" s="220"/>
      <c r="LX481" s="220"/>
      <c r="LY481" s="220"/>
      <c r="LZ481" s="220"/>
      <c r="MA481" s="220"/>
      <c r="MB481" s="220"/>
      <c r="MC481" s="220"/>
      <c r="MD481" s="220"/>
      <c r="ME481" s="220"/>
      <c r="MF481" s="220"/>
      <c r="MG481" s="220"/>
      <c r="MH481" s="220"/>
      <c r="MI481" s="220"/>
      <c r="MJ481" s="220"/>
      <c r="MK481" s="220"/>
      <c r="ML481" s="220"/>
      <c r="MM481" s="220"/>
      <c r="MN481" s="220"/>
      <c r="MO481" s="220"/>
      <c r="MP481" s="220"/>
      <c r="MQ481" s="220"/>
      <c r="MR481" s="220"/>
      <c r="MS481" s="220"/>
      <c r="MT481" s="220"/>
      <c r="MU481" s="220"/>
      <c r="MV481" s="220"/>
      <c r="MW481" s="220"/>
      <c r="MX481" s="220"/>
      <c r="MY481" s="220"/>
      <c r="MZ481" s="220"/>
      <c r="NA481" s="220"/>
      <c r="NB481" s="220"/>
      <c r="NC481" s="220"/>
      <c r="ND481" s="220"/>
      <c r="NE481" s="220"/>
      <c r="NF481" s="220"/>
      <c r="NG481" s="220"/>
      <c r="NH481" s="220"/>
      <c r="NI481" s="220"/>
      <c r="NJ481" s="220"/>
      <c r="NK481" s="220"/>
      <c r="NL481" s="220"/>
      <c r="NM481" s="220"/>
      <c r="NN481" s="220"/>
      <c r="NO481" s="220"/>
      <c r="NP481" s="220"/>
      <c r="NQ481" s="220"/>
      <c r="NR481" s="220"/>
      <c r="NS481" s="220"/>
      <c r="NT481" s="220"/>
      <c r="NU481" s="220"/>
      <c r="NV481" s="220"/>
      <c r="NW481" s="220"/>
      <c r="NX481" s="220"/>
      <c r="NY481" s="220"/>
      <c r="NZ481" s="220"/>
      <c r="OA481" s="220"/>
      <c r="OB481" s="220"/>
      <c r="OC481" s="220"/>
      <c r="OD481" s="220"/>
      <c r="OE481" s="220"/>
      <c r="OF481" s="220"/>
      <c r="OG481" s="220"/>
      <c r="OH481" s="220"/>
      <c r="OI481" s="220"/>
      <c r="OJ481" s="220"/>
      <c r="OK481" s="220"/>
      <c r="OL481" s="220"/>
      <c r="OM481" s="220"/>
      <c r="ON481" s="220"/>
      <c r="OO481" s="220"/>
      <c r="OP481" s="220"/>
      <c r="OQ481" s="220"/>
      <c r="OR481" s="220"/>
      <c r="OS481" s="220"/>
      <c r="OT481" s="220"/>
      <c r="OU481" s="220"/>
      <c r="OV481" s="220"/>
      <c r="OW481" s="220"/>
      <c r="OX481" s="220"/>
      <c r="OY481" s="220"/>
      <c r="OZ481" s="220"/>
      <c r="PA481" s="220"/>
      <c r="PB481" s="220"/>
      <c r="PC481" s="220"/>
      <c r="PD481" s="220"/>
      <c r="PE481" s="220"/>
      <c r="PF481" s="220"/>
      <c r="PG481" s="220"/>
      <c r="PH481" s="220"/>
      <c r="PI481" s="220"/>
      <c r="PJ481" s="220"/>
      <c r="PK481" s="220"/>
      <c r="PL481" s="220"/>
      <c r="PM481" s="220"/>
      <c r="PN481" s="220"/>
      <c r="PO481" s="220"/>
      <c r="PP481" s="220"/>
      <c r="PQ481" s="220"/>
      <c r="PR481" s="220"/>
      <c r="PS481" s="220"/>
      <c r="PT481" s="220"/>
      <c r="PU481" s="220"/>
      <c r="PV481" s="220"/>
      <c r="PW481" s="220"/>
      <c r="PX481" s="220"/>
      <c r="PY481" s="220"/>
      <c r="PZ481" s="220"/>
      <c r="QA481" s="220"/>
      <c r="QB481" s="220"/>
      <c r="QC481" s="220"/>
      <c r="QD481" s="220"/>
      <c r="QE481" s="220"/>
      <c r="QF481" s="220"/>
      <c r="QG481" s="220"/>
      <c r="QH481" s="220"/>
      <c r="QI481" s="220"/>
      <c r="QJ481" s="220"/>
      <c r="QK481" s="220"/>
      <c r="QL481" s="220"/>
      <c r="QM481" s="220"/>
      <c r="QN481" s="220"/>
      <c r="QO481" s="220"/>
      <c r="QP481" s="220"/>
      <c r="QQ481" s="220"/>
      <c r="QR481" s="220"/>
      <c r="QS481" s="220"/>
      <c r="QT481" s="220"/>
      <c r="QU481" s="220"/>
      <c r="QV481" s="220"/>
      <c r="QW481" s="220"/>
      <c r="QX481" s="220"/>
      <c r="QY481" s="220"/>
      <c r="QZ481" s="220"/>
      <c r="RA481" s="220"/>
      <c r="RB481" s="220"/>
      <c r="RC481" s="220"/>
      <c r="RD481" s="220"/>
      <c r="RE481" s="220"/>
      <c r="RF481" s="220"/>
      <c r="RG481" s="220"/>
      <c r="RH481" s="220"/>
      <c r="RI481" s="220"/>
      <c r="RJ481" s="220"/>
      <c r="RK481" s="220"/>
      <c r="RL481" s="220"/>
      <c r="RM481" s="220"/>
      <c r="RN481" s="220"/>
      <c r="RO481" s="220"/>
      <c r="RP481" s="220"/>
      <c r="RQ481" s="220"/>
      <c r="RR481" s="220"/>
      <c r="RS481" s="220"/>
      <c r="RT481" s="220"/>
      <c r="RU481" s="220"/>
      <c r="RV481" s="220"/>
      <c r="RW481" s="220"/>
      <c r="RX481" s="220"/>
      <c r="RY481" s="220"/>
      <c r="RZ481" s="220"/>
      <c r="SA481" s="220"/>
      <c r="SB481" s="220"/>
      <c r="SC481" s="220"/>
      <c r="SD481" s="220"/>
      <c r="SE481" s="220"/>
      <c r="SF481" s="220"/>
      <c r="SG481" s="220"/>
      <c r="SH481" s="220"/>
      <c r="SI481" s="220"/>
      <c r="SJ481" s="220"/>
      <c r="SK481" s="220"/>
      <c r="SL481" s="220"/>
      <c r="SM481" s="220"/>
      <c r="SN481" s="220"/>
      <c r="SO481" s="220"/>
      <c r="SP481" s="220"/>
      <c r="SQ481" s="220"/>
      <c r="SR481" s="220"/>
      <c r="SS481" s="220"/>
      <c r="ST481" s="220"/>
      <c r="SU481" s="220"/>
      <c r="SV481" s="220"/>
      <c r="SW481" s="220"/>
      <c r="SX481" s="220"/>
      <c r="SY481" s="220"/>
      <c r="SZ481" s="220"/>
      <c r="TA481" s="220"/>
      <c r="TB481" s="220"/>
      <c r="TC481" s="220"/>
      <c r="TD481" s="220"/>
      <c r="TE481" s="220"/>
      <c r="TF481" s="220"/>
      <c r="TG481" s="220"/>
      <c r="TH481" s="220"/>
      <c r="TI481" s="220"/>
      <c r="TJ481" s="220"/>
      <c r="TK481" s="220"/>
      <c r="TL481" s="220"/>
      <c r="TM481" s="220"/>
      <c r="TN481" s="220"/>
      <c r="TO481" s="220"/>
      <c r="TP481" s="220"/>
      <c r="TQ481" s="220"/>
      <c r="TR481" s="220"/>
      <c r="TS481" s="220"/>
      <c r="TT481" s="220"/>
      <c r="TU481" s="220"/>
      <c r="TV481" s="220"/>
      <c r="TW481" s="220"/>
      <c r="TX481" s="220"/>
      <c r="TY481" s="220"/>
      <c r="TZ481" s="220"/>
      <c r="UA481" s="220"/>
      <c r="UB481" s="220"/>
      <c r="UC481" s="220"/>
      <c r="UD481" s="220"/>
      <c r="UE481" s="220"/>
      <c r="UF481" s="220"/>
      <c r="UG481" s="220"/>
      <c r="UH481" s="220"/>
      <c r="UI481" s="220"/>
      <c r="UJ481" s="220"/>
      <c r="UK481" s="220"/>
      <c r="UL481" s="220"/>
      <c r="UM481" s="220"/>
      <c r="UN481" s="220"/>
      <c r="UO481" s="220"/>
      <c r="UP481" s="220"/>
      <c r="UQ481" s="220"/>
      <c r="UR481" s="220"/>
      <c r="US481" s="220"/>
      <c r="UT481" s="220"/>
      <c r="UU481" s="220"/>
      <c r="UV481" s="220"/>
      <c r="UW481" s="220"/>
      <c r="UX481" s="220"/>
      <c r="UY481" s="220"/>
      <c r="UZ481" s="220"/>
      <c r="VA481" s="220"/>
      <c r="VB481" s="220"/>
      <c r="VC481" s="220"/>
      <c r="VD481" s="220"/>
      <c r="VE481" s="220"/>
      <c r="VF481" s="220"/>
      <c r="VG481" s="220"/>
      <c r="VH481" s="220"/>
      <c r="VI481" s="220"/>
      <c r="VJ481" s="220"/>
      <c r="VK481" s="220"/>
      <c r="VL481" s="220"/>
      <c r="VM481" s="220"/>
      <c r="VN481" s="220"/>
      <c r="VO481" s="220"/>
      <c r="VP481" s="220"/>
      <c r="VQ481" s="220"/>
      <c r="VR481" s="220"/>
      <c r="VS481" s="220"/>
      <c r="VT481" s="220"/>
      <c r="VU481" s="220"/>
      <c r="VV481" s="220"/>
      <c r="VW481" s="220"/>
      <c r="VX481" s="220"/>
      <c r="VY481" s="220"/>
      <c r="VZ481" s="220"/>
      <c r="WA481" s="220"/>
      <c r="WB481" s="220"/>
      <c r="WC481" s="220"/>
      <c r="WD481" s="220"/>
      <c r="WE481" s="220"/>
      <c r="WF481" s="220"/>
      <c r="WG481" s="220"/>
      <c r="WH481" s="220"/>
      <c r="WI481" s="220"/>
      <c r="WJ481" s="220"/>
      <c r="WK481" s="220"/>
      <c r="WL481" s="220"/>
      <c r="WM481" s="220"/>
      <c r="WN481" s="220"/>
      <c r="WO481" s="220"/>
      <c r="WP481" s="220"/>
      <c r="WQ481" s="220"/>
      <c r="WR481" s="220"/>
      <c r="WS481" s="220"/>
      <c r="WT481" s="220"/>
      <c r="WU481" s="220"/>
      <c r="WV481" s="220"/>
      <c r="WW481" s="220"/>
      <c r="WX481" s="220"/>
      <c r="WY481" s="220"/>
      <c r="WZ481" s="220"/>
      <c r="XA481" s="220"/>
      <c r="XB481" s="220"/>
      <c r="XC481" s="220"/>
      <c r="XD481" s="220"/>
      <c r="XE481" s="220"/>
      <c r="XF481" s="220"/>
      <c r="XG481" s="220"/>
      <c r="XH481" s="220"/>
      <c r="XI481" s="220"/>
      <c r="XJ481" s="220"/>
      <c r="XK481" s="220"/>
      <c r="XL481" s="220"/>
      <c r="XM481" s="220"/>
      <c r="XN481" s="220"/>
      <c r="XO481" s="220"/>
      <c r="XP481" s="220"/>
      <c r="XQ481" s="220"/>
      <c r="XR481" s="220"/>
      <c r="XS481" s="220"/>
      <c r="XT481" s="220"/>
      <c r="XU481" s="220"/>
      <c r="XV481" s="220"/>
      <c r="XW481" s="220"/>
      <c r="XX481" s="220"/>
      <c r="XY481" s="220"/>
      <c r="XZ481" s="220"/>
      <c r="YA481" s="220"/>
      <c r="YB481" s="220"/>
      <c r="YC481" s="220"/>
      <c r="YD481" s="220"/>
      <c r="YE481" s="220"/>
      <c r="YF481" s="220"/>
      <c r="YG481" s="220"/>
      <c r="YH481" s="220"/>
      <c r="YI481" s="220"/>
      <c r="YJ481" s="220"/>
      <c r="YK481" s="220"/>
      <c r="YL481" s="220"/>
      <c r="YM481" s="220"/>
      <c r="YN481" s="220"/>
      <c r="YO481" s="220"/>
      <c r="YP481" s="220"/>
      <c r="YQ481" s="220"/>
      <c r="YR481" s="220"/>
      <c r="YS481" s="220"/>
      <c r="YT481" s="220"/>
      <c r="YU481" s="220"/>
      <c r="YV481" s="220"/>
      <c r="YW481" s="220"/>
      <c r="YX481" s="220"/>
      <c r="YY481" s="220"/>
      <c r="YZ481" s="220"/>
      <c r="ZA481" s="220"/>
      <c r="ZB481" s="220"/>
      <c r="ZC481" s="220"/>
      <c r="ZD481" s="220"/>
      <c r="ZE481" s="220"/>
      <c r="ZF481" s="220"/>
      <c r="ZG481" s="220"/>
      <c r="ZH481" s="220"/>
      <c r="ZI481" s="220"/>
      <c r="ZJ481" s="220"/>
      <c r="ZK481" s="220"/>
      <c r="ZL481" s="220"/>
      <c r="ZM481" s="220"/>
      <c r="ZN481" s="220"/>
      <c r="ZO481" s="220"/>
      <c r="ZP481" s="220"/>
      <c r="ZQ481" s="220"/>
      <c r="ZR481" s="220"/>
      <c r="ZS481" s="220"/>
      <c r="ZT481" s="220"/>
      <c r="ZU481" s="220"/>
      <c r="ZV481" s="220"/>
      <c r="ZW481" s="220"/>
      <c r="ZX481" s="220"/>
      <c r="ZY481" s="220"/>
      <c r="ZZ481" s="220"/>
      <c r="AAA481" s="220"/>
      <c r="AAB481" s="220"/>
      <c r="AAC481" s="220"/>
      <c r="AAD481" s="220"/>
      <c r="AAE481" s="220"/>
      <c r="AAF481" s="220"/>
      <c r="AAG481" s="220"/>
      <c r="AAH481" s="220"/>
      <c r="AAI481" s="220"/>
      <c r="AAJ481" s="220"/>
      <c r="AAK481" s="220"/>
      <c r="AAL481" s="220"/>
      <c r="AAM481" s="220"/>
      <c r="AAN481" s="220"/>
      <c r="AAO481" s="220"/>
      <c r="AAP481" s="220"/>
      <c r="AAQ481" s="220"/>
      <c r="AAR481" s="220"/>
      <c r="AAS481" s="220"/>
      <c r="AAT481" s="220"/>
      <c r="AAU481" s="220"/>
      <c r="AAV481" s="220"/>
      <c r="AAW481" s="220"/>
      <c r="AAX481" s="220"/>
      <c r="AAY481" s="220"/>
      <c r="AAZ481" s="220"/>
      <c r="ABA481" s="220"/>
      <c r="ABB481" s="220"/>
      <c r="ABC481" s="220"/>
      <c r="ABD481" s="220"/>
      <c r="ABE481" s="220"/>
      <c r="ABF481" s="220"/>
      <c r="ABG481" s="220"/>
    </row>
    <row r="482" spans="1:735" s="246" customFormat="1" ht="24.75" x14ac:dyDescent="0.2">
      <c r="A482" s="248">
        <v>2141</v>
      </c>
      <c r="B482" s="175" t="s">
        <v>333</v>
      </c>
      <c r="C482" s="136">
        <v>1226000</v>
      </c>
      <c r="D482" s="136">
        <f>1226000-23327</f>
        <v>1202673</v>
      </c>
      <c r="E482" s="136">
        <v>1200954.6200000001</v>
      </c>
      <c r="F482" s="133"/>
      <c r="G482" s="120">
        <f t="shared" ref="G482:G485" si="148">E482/C482*100</f>
        <v>97.957146818923334</v>
      </c>
      <c r="H482" s="120">
        <f>E482/D482*100</f>
        <v>99.857119932018108</v>
      </c>
      <c r="I482" s="120">
        <f>E482/J482*100</f>
        <v>172.83008663849188</v>
      </c>
      <c r="J482" s="6">
        <v>694875.9</v>
      </c>
      <c r="K482" s="220"/>
      <c r="L482" s="220"/>
      <c r="M482" s="220"/>
      <c r="N482" s="220"/>
      <c r="O482" s="220"/>
      <c r="P482" s="220"/>
      <c r="Q482" s="220"/>
      <c r="R482" s="220"/>
      <c r="S482" s="220"/>
      <c r="T482" s="220"/>
      <c r="U482" s="220"/>
      <c r="V482" s="220"/>
      <c r="W482" s="220"/>
      <c r="X482" s="220"/>
      <c r="Y482" s="220"/>
      <c r="Z482" s="220"/>
      <c r="AA482" s="220"/>
      <c r="AB482" s="220"/>
      <c r="AC482" s="220"/>
      <c r="AD482" s="220"/>
      <c r="AE482" s="220"/>
      <c r="AF482" s="220"/>
      <c r="AG482" s="220"/>
      <c r="AH482" s="220"/>
      <c r="AI482" s="220"/>
      <c r="AJ482" s="220"/>
      <c r="AK482" s="220"/>
      <c r="AL482" s="220"/>
      <c r="AM482" s="220"/>
      <c r="AN482" s="220"/>
      <c r="AO482" s="220"/>
      <c r="AP482" s="220"/>
      <c r="AQ482" s="220"/>
      <c r="AR482" s="220"/>
      <c r="AS482" s="220"/>
      <c r="AT482" s="220"/>
      <c r="AU482" s="220"/>
      <c r="AV482" s="220"/>
      <c r="AW482" s="220"/>
      <c r="AX482" s="220"/>
      <c r="AY482" s="220"/>
      <c r="AZ482" s="220"/>
      <c r="BA482" s="220"/>
      <c r="BB482" s="220"/>
      <c r="BC482" s="220"/>
      <c r="BD482" s="220"/>
      <c r="BE482" s="220"/>
      <c r="BF482" s="220"/>
      <c r="BG482" s="220"/>
      <c r="BH482" s="220"/>
      <c r="BI482" s="220"/>
      <c r="BJ482" s="220"/>
      <c r="BK482" s="220"/>
      <c r="BL482" s="220"/>
      <c r="BM482" s="220"/>
      <c r="BN482" s="220"/>
      <c r="BO482" s="220"/>
      <c r="BP482" s="220"/>
      <c r="BQ482" s="220"/>
      <c r="BR482" s="220"/>
      <c r="BS482" s="220"/>
      <c r="BT482" s="220"/>
      <c r="BU482" s="220"/>
      <c r="BV482" s="220"/>
      <c r="BW482" s="220"/>
      <c r="BX482" s="220"/>
      <c r="BY482" s="220"/>
      <c r="BZ482" s="220"/>
      <c r="CA482" s="220"/>
      <c r="CB482" s="220"/>
      <c r="CC482" s="220"/>
      <c r="CD482" s="220"/>
      <c r="CE482" s="220"/>
      <c r="CF482" s="220"/>
      <c r="CG482" s="220"/>
      <c r="CH482" s="220"/>
      <c r="CI482" s="220"/>
      <c r="CJ482" s="220"/>
      <c r="CK482" s="220"/>
      <c r="CL482" s="220"/>
      <c r="CM482" s="220"/>
      <c r="CN482" s="220"/>
      <c r="CO482" s="220"/>
      <c r="CP482" s="220"/>
      <c r="CQ482" s="220"/>
      <c r="CR482" s="220"/>
      <c r="CS482" s="220"/>
      <c r="CT482" s="220"/>
      <c r="CU482" s="220"/>
      <c r="CV482" s="220"/>
      <c r="CW482" s="220"/>
      <c r="CX482" s="220"/>
      <c r="CY482" s="220"/>
      <c r="CZ482" s="220"/>
      <c r="DA482" s="220"/>
      <c r="DB482" s="220"/>
      <c r="DC482" s="220"/>
      <c r="DD482" s="220"/>
      <c r="DE482" s="220"/>
      <c r="DF482" s="220"/>
      <c r="DG482" s="220"/>
      <c r="DH482" s="220"/>
      <c r="DI482" s="220"/>
      <c r="DJ482" s="220"/>
      <c r="DK482" s="220"/>
      <c r="DL482" s="220"/>
      <c r="DM482" s="220"/>
      <c r="DN482" s="220"/>
      <c r="DO482" s="220"/>
      <c r="DP482" s="220"/>
      <c r="DQ482" s="220"/>
      <c r="DR482" s="220"/>
      <c r="DS482" s="220"/>
      <c r="DT482" s="220"/>
      <c r="DU482" s="220"/>
      <c r="DV482" s="220"/>
      <c r="DW482" s="220"/>
      <c r="DX482" s="220"/>
      <c r="DY482" s="220"/>
      <c r="DZ482" s="220"/>
      <c r="EA482" s="220"/>
      <c r="EB482" s="220"/>
      <c r="EC482" s="220"/>
      <c r="ED482" s="220"/>
      <c r="EE482" s="220"/>
      <c r="EF482" s="220"/>
      <c r="EG482" s="220"/>
      <c r="EH482" s="220"/>
      <c r="EI482" s="220"/>
      <c r="EJ482" s="220"/>
      <c r="EK482" s="220"/>
      <c r="EL482" s="220"/>
      <c r="EM482" s="220"/>
      <c r="EN482" s="220"/>
      <c r="EO482" s="220"/>
      <c r="EP482" s="220"/>
      <c r="EQ482" s="220"/>
      <c r="ER482" s="220"/>
      <c r="ES482" s="220"/>
      <c r="ET482" s="220"/>
      <c r="EU482" s="220"/>
      <c r="EV482" s="220"/>
      <c r="EW482" s="220"/>
      <c r="EX482" s="220"/>
      <c r="EY482" s="220"/>
      <c r="EZ482" s="220"/>
      <c r="FA482" s="220"/>
      <c r="FB482" s="220"/>
      <c r="FC482" s="220"/>
      <c r="FD482" s="220"/>
      <c r="FE482" s="220"/>
      <c r="FF482" s="220"/>
      <c r="FG482" s="220"/>
      <c r="FH482" s="220"/>
      <c r="FI482" s="220"/>
      <c r="FJ482" s="220"/>
      <c r="FK482" s="220"/>
      <c r="FL482" s="220"/>
      <c r="FM482" s="220"/>
      <c r="FN482" s="220"/>
      <c r="FO482" s="220"/>
      <c r="FP482" s="220"/>
      <c r="FQ482" s="220"/>
      <c r="FR482" s="220"/>
      <c r="FS482" s="220"/>
      <c r="FT482" s="220"/>
      <c r="FU482" s="220"/>
      <c r="FV482" s="220"/>
      <c r="FW482" s="220"/>
      <c r="FX482" s="220"/>
      <c r="FY482" s="220"/>
      <c r="FZ482" s="220"/>
      <c r="GA482" s="220"/>
      <c r="GB482" s="220"/>
      <c r="GC482" s="220"/>
      <c r="GD482" s="220"/>
      <c r="GE482" s="220"/>
      <c r="GF482" s="220"/>
      <c r="GG482" s="220"/>
      <c r="GH482" s="220"/>
      <c r="GI482" s="220"/>
      <c r="GJ482" s="220"/>
      <c r="GK482" s="220"/>
      <c r="GL482" s="220"/>
      <c r="GM482" s="220"/>
      <c r="GN482" s="220"/>
      <c r="GO482" s="220"/>
      <c r="GP482" s="220"/>
      <c r="GQ482" s="220"/>
      <c r="GR482" s="220"/>
      <c r="GS482" s="220"/>
      <c r="GT482" s="220"/>
      <c r="GU482" s="220"/>
      <c r="GV482" s="220"/>
      <c r="GW482" s="220"/>
      <c r="GX482" s="220"/>
      <c r="GY482" s="220"/>
      <c r="GZ482" s="220"/>
      <c r="HA482" s="220"/>
      <c r="HB482" s="220"/>
      <c r="HC482" s="220"/>
      <c r="HD482" s="220"/>
      <c r="HE482" s="220"/>
      <c r="HF482" s="220"/>
      <c r="HG482" s="220"/>
      <c r="HH482" s="220"/>
      <c r="HI482" s="220"/>
      <c r="HJ482" s="220"/>
      <c r="HK482" s="220"/>
      <c r="HL482" s="220"/>
      <c r="HM482" s="220"/>
      <c r="HN482" s="220"/>
      <c r="HO482" s="220"/>
      <c r="HP482" s="220"/>
      <c r="HQ482" s="220"/>
      <c r="HR482" s="220"/>
      <c r="HS482" s="220"/>
      <c r="HT482" s="220"/>
      <c r="HU482" s="220"/>
      <c r="HV482" s="220"/>
      <c r="HW482" s="220"/>
      <c r="HX482" s="220"/>
      <c r="HY482" s="220"/>
      <c r="HZ482" s="220"/>
      <c r="IA482" s="220"/>
      <c r="IB482" s="220"/>
      <c r="IC482" s="220"/>
      <c r="ID482" s="220"/>
      <c r="IE482" s="220"/>
      <c r="IF482" s="220"/>
      <c r="IG482" s="220"/>
      <c r="IH482" s="220"/>
      <c r="II482" s="220"/>
      <c r="IJ482" s="220"/>
      <c r="IK482" s="220"/>
      <c r="IL482" s="220"/>
      <c r="IM482" s="220"/>
      <c r="IN482" s="220"/>
      <c r="IO482" s="220"/>
      <c r="IP482" s="220"/>
      <c r="IQ482" s="220"/>
      <c r="IR482" s="220"/>
      <c r="IS482" s="220"/>
      <c r="IT482" s="220"/>
      <c r="IU482" s="220"/>
      <c r="IV482" s="220"/>
      <c r="IW482" s="220"/>
      <c r="IX482" s="220"/>
      <c r="IY482" s="220"/>
      <c r="IZ482" s="220"/>
      <c r="JA482" s="220"/>
      <c r="JB482" s="220"/>
      <c r="JC482" s="220"/>
      <c r="JD482" s="220"/>
      <c r="JE482" s="220"/>
      <c r="JF482" s="220"/>
      <c r="JG482" s="220"/>
      <c r="JH482" s="220"/>
      <c r="JI482" s="220"/>
      <c r="JJ482" s="220"/>
      <c r="JK482" s="220"/>
      <c r="JL482" s="220"/>
      <c r="JM482" s="220"/>
      <c r="JN482" s="220"/>
      <c r="JO482" s="220"/>
      <c r="JP482" s="220"/>
      <c r="JQ482" s="220"/>
      <c r="JR482" s="220"/>
      <c r="JS482" s="220"/>
      <c r="JT482" s="220"/>
      <c r="JU482" s="220"/>
      <c r="JV482" s="220"/>
      <c r="JW482" s="220"/>
      <c r="JX482" s="220"/>
      <c r="JY482" s="220"/>
      <c r="JZ482" s="220"/>
      <c r="KA482" s="220"/>
      <c r="KB482" s="220"/>
      <c r="KC482" s="220"/>
      <c r="KD482" s="220"/>
      <c r="KE482" s="220"/>
      <c r="KF482" s="220"/>
      <c r="KG482" s="220"/>
      <c r="KH482" s="220"/>
      <c r="KI482" s="220"/>
      <c r="KJ482" s="220"/>
      <c r="KK482" s="220"/>
      <c r="KL482" s="220"/>
      <c r="KM482" s="220"/>
      <c r="KN482" s="220"/>
      <c r="KO482" s="220"/>
      <c r="KP482" s="220"/>
      <c r="KQ482" s="220"/>
      <c r="KR482" s="220"/>
      <c r="KS482" s="220"/>
      <c r="KT482" s="220"/>
      <c r="KU482" s="220"/>
      <c r="KV482" s="220"/>
      <c r="KW482" s="220"/>
      <c r="KX482" s="220"/>
      <c r="KY482" s="220"/>
      <c r="KZ482" s="220"/>
      <c r="LA482" s="220"/>
      <c r="LB482" s="220"/>
      <c r="LC482" s="220"/>
      <c r="LD482" s="220"/>
      <c r="LE482" s="220"/>
      <c r="LF482" s="220"/>
      <c r="LG482" s="220"/>
      <c r="LH482" s="220"/>
      <c r="LI482" s="220"/>
      <c r="LJ482" s="220"/>
      <c r="LK482" s="220"/>
      <c r="LL482" s="220"/>
      <c r="LM482" s="220"/>
      <c r="LN482" s="220"/>
      <c r="LO482" s="220"/>
      <c r="LP482" s="220"/>
      <c r="LQ482" s="220"/>
      <c r="LR482" s="220"/>
      <c r="LS482" s="220"/>
      <c r="LT482" s="220"/>
      <c r="LU482" s="220"/>
      <c r="LV482" s="220"/>
      <c r="LW482" s="220"/>
      <c r="LX482" s="220"/>
      <c r="LY482" s="220"/>
      <c r="LZ482" s="220"/>
      <c r="MA482" s="220"/>
      <c r="MB482" s="220"/>
      <c r="MC482" s="220"/>
      <c r="MD482" s="220"/>
      <c r="ME482" s="220"/>
      <c r="MF482" s="220"/>
      <c r="MG482" s="220"/>
      <c r="MH482" s="220"/>
      <c r="MI482" s="220"/>
      <c r="MJ482" s="220"/>
      <c r="MK482" s="220"/>
      <c r="ML482" s="220"/>
      <c r="MM482" s="220"/>
      <c r="MN482" s="220"/>
      <c r="MO482" s="220"/>
      <c r="MP482" s="220"/>
      <c r="MQ482" s="220"/>
      <c r="MR482" s="220"/>
      <c r="MS482" s="220"/>
      <c r="MT482" s="220"/>
      <c r="MU482" s="220"/>
      <c r="MV482" s="220"/>
      <c r="MW482" s="220"/>
      <c r="MX482" s="220"/>
      <c r="MY482" s="220"/>
      <c r="MZ482" s="220"/>
      <c r="NA482" s="220"/>
      <c r="NB482" s="220"/>
      <c r="NC482" s="220"/>
      <c r="ND482" s="220"/>
      <c r="NE482" s="220"/>
      <c r="NF482" s="220"/>
      <c r="NG482" s="220"/>
      <c r="NH482" s="220"/>
      <c r="NI482" s="220"/>
      <c r="NJ482" s="220"/>
      <c r="NK482" s="220"/>
      <c r="NL482" s="220"/>
      <c r="NM482" s="220"/>
      <c r="NN482" s="220"/>
      <c r="NO482" s="220"/>
      <c r="NP482" s="220"/>
      <c r="NQ482" s="220"/>
      <c r="NR482" s="220"/>
      <c r="NS482" s="220"/>
      <c r="NT482" s="220"/>
      <c r="NU482" s="220"/>
      <c r="NV482" s="220"/>
      <c r="NW482" s="220"/>
      <c r="NX482" s="220"/>
      <c r="NY482" s="220"/>
      <c r="NZ482" s="220"/>
      <c r="OA482" s="220"/>
      <c r="OB482" s="220"/>
      <c r="OC482" s="220"/>
      <c r="OD482" s="220"/>
      <c r="OE482" s="220"/>
      <c r="OF482" s="220"/>
      <c r="OG482" s="220"/>
      <c r="OH482" s="220"/>
      <c r="OI482" s="220"/>
      <c r="OJ482" s="220"/>
      <c r="OK482" s="220"/>
      <c r="OL482" s="220"/>
      <c r="OM482" s="220"/>
      <c r="ON482" s="220"/>
      <c r="OO482" s="220"/>
      <c r="OP482" s="220"/>
      <c r="OQ482" s="220"/>
      <c r="OR482" s="220"/>
      <c r="OS482" s="220"/>
      <c r="OT482" s="220"/>
      <c r="OU482" s="220"/>
      <c r="OV482" s="220"/>
      <c r="OW482" s="220"/>
      <c r="OX482" s="220"/>
      <c r="OY482" s="220"/>
      <c r="OZ482" s="220"/>
      <c r="PA482" s="220"/>
      <c r="PB482" s="220"/>
      <c r="PC482" s="220"/>
      <c r="PD482" s="220"/>
      <c r="PE482" s="220"/>
      <c r="PF482" s="220"/>
      <c r="PG482" s="220"/>
      <c r="PH482" s="220"/>
      <c r="PI482" s="220"/>
      <c r="PJ482" s="220"/>
      <c r="PK482" s="220"/>
      <c r="PL482" s="220"/>
      <c r="PM482" s="220"/>
      <c r="PN482" s="220"/>
      <c r="PO482" s="220"/>
      <c r="PP482" s="220"/>
      <c r="PQ482" s="220"/>
      <c r="PR482" s="220"/>
      <c r="PS482" s="220"/>
      <c r="PT482" s="220"/>
      <c r="PU482" s="220"/>
      <c r="PV482" s="220"/>
      <c r="PW482" s="220"/>
      <c r="PX482" s="220"/>
      <c r="PY482" s="220"/>
      <c r="PZ482" s="220"/>
      <c r="QA482" s="220"/>
      <c r="QB482" s="220"/>
      <c r="QC482" s="220"/>
      <c r="QD482" s="220"/>
      <c r="QE482" s="220"/>
      <c r="QF482" s="220"/>
      <c r="QG482" s="220"/>
      <c r="QH482" s="220"/>
      <c r="QI482" s="220"/>
      <c r="QJ482" s="220"/>
      <c r="QK482" s="220"/>
      <c r="QL482" s="220"/>
      <c r="QM482" s="220"/>
      <c r="QN482" s="220"/>
      <c r="QO482" s="220"/>
      <c r="QP482" s="220"/>
      <c r="QQ482" s="220"/>
      <c r="QR482" s="220"/>
      <c r="QS482" s="220"/>
      <c r="QT482" s="220"/>
      <c r="QU482" s="220"/>
      <c r="QV482" s="220"/>
      <c r="QW482" s="220"/>
      <c r="QX482" s="220"/>
      <c r="QY482" s="220"/>
      <c r="QZ482" s="220"/>
      <c r="RA482" s="220"/>
      <c r="RB482" s="220"/>
      <c r="RC482" s="220"/>
      <c r="RD482" s="220"/>
      <c r="RE482" s="220"/>
      <c r="RF482" s="220"/>
      <c r="RG482" s="220"/>
      <c r="RH482" s="220"/>
      <c r="RI482" s="220"/>
      <c r="RJ482" s="220"/>
      <c r="RK482" s="220"/>
      <c r="RL482" s="220"/>
      <c r="RM482" s="220"/>
      <c r="RN482" s="220"/>
      <c r="RO482" s="220"/>
      <c r="RP482" s="220"/>
      <c r="RQ482" s="220"/>
      <c r="RR482" s="220"/>
      <c r="RS482" s="220"/>
      <c r="RT482" s="220"/>
      <c r="RU482" s="220"/>
      <c r="RV482" s="220"/>
      <c r="RW482" s="220"/>
      <c r="RX482" s="220"/>
      <c r="RY482" s="220"/>
      <c r="RZ482" s="220"/>
      <c r="SA482" s="220"/>
      <c r="SB482" s="220"/>
      <c r="SC482" s="220"/>
      <c r="SD482" s="220"/>
      <c r="SE482" s="220"/>
      <c r="SF482" s="220"/>
      <c r="SG482" s="220"/>
      <c r="SH482" s="220"/>
      <c r="SI482" s="220"/>
      <c r="SJ482" s="220"/>
      <c r="SK482" s="220"/>
      <c r="SL482" s="220"/>
      <c r="SM482" s="220"/>
      <c r="SN482" s="220"/>
      <c r="SO482" s="220"/>
      <c r="SP482" s="220"/>
      <c r="SQ482" s="220"/>
      <c r="SR482" s="220"/>
      <c r="SS482" s="220"/>
      <c r="ST482" s="220"/>
      <c r="SU482" s="220"/>
      <c r="SV482" s="220"/>
      <c r="SW482" s="220"/>
      <c r="SX482" s="220"/>
      <c r="SY482" s="220"/>
      <c r="SZ482" s="220"/>
      <c r="TA482" s="220"/>
      <c r="TB482" s="220"/>
      <c r="TC482" s="220"/>
      <c r="TD482" s="220"/>
      <c r="TE482" s="220"/>
      <c r="TF482" s="220"/>
      <c r="TG482" s="220"/>
      <c r="TH482" s="220"/>
      <c r="TI482" s="220"/>
      <c r="TJ482" s="220"/>
      <c r="TK482" s="220"/>
      <c r="TL482" s="220"/>
      <c r="TM482" s="220"/>
      <c r="TN482" s="220"/>
      <c r="TO482" s="220"/>
      <c r="TP482" s="220"/>
      <c r="TQ482" s="220"/>
      <c r="TR482" s="220"/>
      <c r="TS482" s="220"/>
      <c r="TT482" s="220"/>
      <c r="TU482" s="220"/>
      <c r="TV482" s="220"/>
      <c r="TW482" s="220"/>
      <c r="TX482" s="220"/>
      <c r="TY482" s="220"/>
      <c r="TZ482" s="220"/>
      <c r="UA482" s="220"/>
      <c r="UB482" s="220"/>
      <c r="UC482" s="220"/>
      <c r="UD482" s="220"/>
      <c r="UE482" s="220"/>
      <c r="UF482" s="220"/>
      <c r="UG482" s="220"/>
      <c r="UH482" s="220"/>
      <c r="UI482" s="220"/>
      <c r="UJ482" s="220"/>
      <c r="UK482" s="220"/>
      <c r="UL482" s="220"/>
      <c r="UM482" s="220"/>
      <c r="UN482" s="220"/>
      <c r="UO482" s="220"/>
      <c r="UP482" s="220"/>
      <c r="UQ482" s="220"/>
      <c r="UR482" s="220"/>
      <c r="US482" s="220"/>
      <c r="UT482" s="220"/>
      <c r="UU482" s="220"/>
      <c r="UV482" s="220"/>
      <c r="UW482" s="220"/>
      <c r="UX482" s="220"/>
      <c r="UY482" s="220"/>
      <c r="UZ482" s="220"/>
      <c r="VA482" s="220"/>
      <c r="VB482" s="220"/>
      <c r="VC482" s="220"/>
      <c r="VD482" s="220"/>
      <c r="VE482" s="220"/>
      <c r="VF482" s="220"/>
      <c r="VG482" s="220"/>
      <c r="VH482" s="220"/>
      <c r="VI482" s="220"/>
      <c r="VJ482" s="220"/>
      <c r="VK482" s="220"/>
      <c r="VL482" s="220"/>
      <c r="VM482" s="220"/>
      <c r="VN482" s="220"/>
      <c r="VO482" s="220"/>
      <c r="VP482" s="220"/>
      <c r="VQ482" s="220"/>
      <c r="VR482" s="220"/>
      <c r="VS482" s="220"/>
      <c r="VT482" s="220"/>
      <c r="VU482" s="220"/>
      <c r="VV482" s="220"/>
      <c r="VW482" s="220"/>
      <c r="VX482" s="220"/>
      <c r="VY482" s="220"/>
      <c r="VZ482" s="220"/>
      <c r="WA482" s="220"/>
      <c r="WB482" s="220"/>
      <c r="WC482" s="220"/>
      <c r="WD482" s="220"/>
      <c r="WE482" s="220"/>
      <c r="WF482" s="220"/>
      <c r="WG482" s="220"/>
      <c r="WH482" s="220"/>
      <c r="WI482" s="220"/>
      <c r="WJ482" s="220"/>
      <c r="WK482" s="220"/>
      <c r="WL482" s="220"/>
      <c r="WM482" s="220"/>
      <c r="WN482" s="220"/>
      <c r="WO482" s="220"/>
      <c r="WP482" s="220"/>
      <c r="WQ482" s="220"/>
      <c r="WR482" s="220"/>
      <c r="WS482" s="220"/>
      <c r="WT482" s="220"/>
      <c r="WU482" s="220"/>
      <c r="WV482" s="220"/>
      <c r="WW482" s="220"/>
      <c r="WX482" s="220"/>
      <c r="WY482" s="220"/>
      <c r="WZ482" s="220"/>
      <c r="XA482" s="220"/>
      <c r="XB482" s="220"/>
      <c r="XC482" s="220"/>
      <c r="XD482" s="220"/>
      <c r="XE482" s="220"/>
      <c r="XF482" s="220"/>
      <c r="XG482" s="220"/>
      <c r="XH482" s="220"/>
      <c r="XI482" s="220"/>
      <c r="XJ482" s="220"/>
      <c r="XK482" s="220"/>
      <c r="XL482" s="220"/>
      <c r="XM482" s="220"/>
      <c r="XN482" s="220"/>
      <c r="XO482" s="220"/>
      <c r="XP482" s="220"/>
      <c r="XQ482" s="220"/>
      <c r="XR482" s="220"/>
      <c r="XS482" s="220"/>
      <c r="XT482" s="220"/>
      <c r="XU482" s="220"/>
      <c r="XV482" s="220"/>
      <c r="XW482" s="220"/>
      <c r="XX482" s="220"/>
      <c r="XY482" s="220"/>
      <c r="XZ482" s="220"/>
      <c r="YA482" s="220"/>
      <c r="YB482" s="220"/>
      <c r="YC482" s="220"/>
      <c r="YD482" s="220"/>
      <c r="YE482" s="220"/>
      <c r="YF482" s="220"/>
      <c r="YG482" s="220"/>
      <c r="YH482" s="220"/>
      <c r="YI482" s="220"/>
      <c r="YJ482" s="220"/>
      <c r="YK482" s="220"/>
      <c r="YL482" s="220"/>
      <c r="YM482" s="220"/>
      <c r="YN482" s="220"/>
      <c r="YO482" s="220"/>
      <c r="YP482" s="220"/>
      <c r="YQ482" s="220"/>
      <c r="YR482" s="220"/>
      <c r="YS482" s="220"/>
      <c r="YT482" s="220"/>
      <c r="YU482" s="220"/>
      <c r="YV482" s="220"/>
      <c r="YW482" s="220"/>
      <c r="YX482" s="220"/>
      <c r="YY482" s="220"/>
      <c r="YZ482" s="220"/>
      <c r="ZA482" s="220"/>
      <c r="ZB482" s="220"/>
      <c r="ZC482" s="220"/>
      <c r="ZD482" s="220"/>
      <c r="ZE482" s="220"/>
      <c r="ZF482" s="220"/>
      <c r="ZG482" s="220"/>
      <c r="ZH482" s="220"/>
      <c r="ZI482" s="220"/>
      <c r="ZJ482" s="220"/>
      <c r="ZK482" s="220"/>
      <c r="ZL482" s="220"/>
      <c r="ZM482" s="220"/>
      <c r="ZN482" s="220"/>
      <c r="ZO482" s="220"/>
      <c r="ZP482" s="220"/>
      <c r="ZQ482" s="220"/>
      <c r="ZR482" s="220"/>
      <c r="ZS482" s="220"/>
      <c r="ZT482" s="220"/>
      <c r="ZU482" s="220"/>
      <c r="ZV482" s="220"/>
      <c r="ZW482" s="220"/>
      <c r="ZX482" s="220"/>
      <c r="ZY482" s="220"/>
      <c r="ZZ482" s="220"/>
      <c r="AAA482" s="220"/>
      <c r="AAB482" s="220"/>
      <c r="AAC482" s="220"/>
      <c r="AAD482" s="220"/>
      <c r="AAE482" s="220"/>
      <c r="AAF482" s="220"/>
      <c r="AAG482" s="220"/>
      <c r="AAH482" s="220"/>
      <c r="AAI482" s="220"/>
      <c r="AAJ482" s="220"/>
      <c r="AAK482" s="220"/>
      <c r="AAL482" s="220"/>
      <c r="AAM482" s="220"/>
      <c r="AAN482" s="220"/>
      <c r="AAO482" s="220"/>
      <c r="AAP482" s="220"/>
      <c r="AAQ482" s="220"/>
      <c r="AAR482" s="220"/>
      <c r="AAS482" s="220"/>
      <c r="AAT482" s="220"/>
      <c r="AAU482" s="220"/>
      <c r="AAV482" s="220"/>
      <c r="AAW482" s="220"/>
      <c r="AAX482" s="220"/>
      <c r="AAY482" s="220"/>
      <c r="AAZ482" s="220"/>
      <c r="ABA482" s="220"/>
      <c r="ABB482" s="220"/>
      <c r="ABC482" s="220"/>
      <c r="ABD482" s="220"/>
      <c r="ABE482" s="220"/>
      <c r="ABF482" s="220"/>
      <c r="ABG482" s="220"/>
    </row>
    <row r="483" spans="1:735" s="246" customFormat="1" ht="60.75" x14ac:dyDescent="0.2">
      <c r="A483" s="180">
        <v>2143</v>
      </c>
      <c r="B483" s="247" t="s">
        <v>332</v>
      </c>
      <c r="C483" s="136">
        <v>8971956</v>
      </c>
      <c r="D483" s="136">
        <f>8971956+100000-1232877</f>
        <v>7839079</v>
      </c>
      <c r="E483" s="497">
        <v>7427674.2199999997</v>
      </c>
      <c r="F483" s="495"/>
      <c r="G483" s="120">
        <f t="shared" si="148"/>
        <v>82.787679966330643</v>
      </c>
      <c r="H483" s="120">
        <f>E483/D483*100</f>
        <v>94.751873530040967</v>
      </c>
      <c r="I483" s="120">
        <f>E483/J483*100</f>
        <v>95.833986775049709</v>
      </c>
      <c r="J483" s="6">
        <v>7750563.7300000004</v>
      </c>
      <c r="K483" s="220"/>
      <c r="L483" s="220"/>
      <c r="M483" s="220"/>
      <c r="N483" s="220"/>
      <c r="O483" s="220"/>
      <c r="P483" s="220"/>
      <c r="Q483" s="220"/>
      <c r="R483" s="220"/>
      <c r="S483" s="220"/>
      <c r="T483" s="220"/>
      <c r="U483" s="220"/>
      <c r="V483" s="220"/>
      <c r="W483" s="220"/>
      <c r="X483" s="220"/>
      <c r="Y483" s="220"/>
      <c r="Z483" s="220"/>
      <c r="AA483" s="220"/>
      <c r="AB483" s="220"/>
      <c r="AC483" s="220"/>
      <c r="AD483" s="220"/>
      <c r="AE483" s="220"/>
      <c r="AF483" s="220"/>
      <c r="AG483" s="220"/>
      <c r="AH483" s="220"/>
      <c r="AI483" s="220"/>
      <c r="AJ483" s="220"/>
      <c r="AK483" s="220"/>
      <c r="AL483" s="220"/>
      <c r="AM483" s="220"/>
      <c r="AN483" s="220"/>
      <c r="AO483" s="220"/>
      <c r="AP483" s="220"/>
      <c r="AQ483" s="220"/>
      <c r="AR483" s="220"/>
      <c r="AS483" s="220"/>
      <c r="AT483" s="220"/>
      <c r="AU483" s="220"/>
      <c r="AV483" s="220"/>
      <c r="AW483" s="220"/>
      <c r="AX483" s="220"/>
      <c r="AY483" s="220"/>
      <c r="AZ483" s="220"/>
      <c r="BA483" s="220"/>
      <c r="BB483" s="220"/>
      <c r="BC483" s="220"/>
      <c r="BD483" s="220"/>
      <c r="BE483" s="220"/>
      <c r="BF483" s="220"/>
      <c r="BG483" s="220"/>
      <c r="BH483" s="220"/>
      <c r="BI483" s="220"/>
      <c r="BJ483" s="220"/>
      <c r="BK483" s="220"/>
      <c r="BL483" s="220"/>
      <c r="BM483" s="220"/>
      <c r="BN483" s="220"/>
      <c r="BO483" s="220"/>
      <c r="BP483" s="220"/>
      <c r="BQ483" s="220"/>
      <c r="BR483" s="220"/>
      <c r="BS483" s="220"/>
      <c r="BT483" s="220"/>
      <c r="BU483" s="220"/>
      <c r="BV483" s="220"/>
      <c r="BW483" s="220"/>
      <c r="BX483" s="220"/>
      <c r="BY483" s="220"/>
      <c r="BZ483" s="220"/>
      <c r="CA483" s="220"/>
      <c r="CB483" s="220"/>
      <c r="CC483" s="220"/>
      <c r="CD483" s="220"/>
      <c r="CE483" s="220"/>
      <c r="CF483" s="220"/>
      <c r="CG483" s="220"/>
      <c r="CH483" s="220"/>
      <c r="CI483" s="220"/>
      <c r="CJ483" s="220"/>
      <c r="CK483" s="220"/>
      <c r="CL483" s="220"/>
      <c r="CM483" s="220"/>
      <c r="CN483" s="220"/>
      <c r="CO483" s="220"/>
      <c r="CP483" s="220"/>
      <c r="CQ483" s="220"/>
      <c r="CR483" s="220"/>
      <c r="CS483" s="220"/>
      <c r="CT483" s="220"/>
      <c r="CU483" s="220"/>
      <c r="CV483" s="220"/>
      <c r="CW483" s="220"/>
      <c r="CX483" s="220"/>
      <c r="CY483" s="220"/>
      <c r="CZ483" s="220"/>
      <c r="DA483" s="220"/>
      <c r="DB483" s="220"/>
      <c r="DC483" s="220"/>
      <c r="DD483" s="220"/>
      <c r="DE483" s="220"/>
      <c r="DF483" s="220"/>
      <c r="DG483" s="220"/>
      <c r="DH483" s="220"/>
      <c r="DI483" s="220"/>
      <c r="DJ483" s="220"/>
      <c r="DK483" s="220"/>
      <c r="DL483" s="220"/>
      <c r="DM483" s="220"/>
      <c r="DN483" s="220"/>
      <c r="DO483" s="220"/>
      <c r="DP483" s="220"/>
      <c r="DQ483" s="220"/>
      <c r="DR483" s="220"/>
      <c r="DS483" s="220"/>
      <c r="DT483" s="220"/>
      <c r="DU483" s="220"/>
      <c r="DV483" s="220"/>
      <c r="DW483" s="220"/>
      <c r="DX483" s="220"/>
      <c r="DY483" s="220"/>
      <c r="DZ483" s="220"/>
      <c r="EA483" s="220"/>
      <c r="EB483" s="220"/>
      <c r="EC483" s="220"/>
      <c r="ED483" s="220"/>
      <c r="EE483" s="220"/>
      <c r="EF483" s="220"/>
      <c r="EG483" s="220"/>
      <c r="EH483" s="220"/>
      <c r="EI483" s="220"/>
      <c r="EJ483" s="220"/>
      <c r="EK483" s="220"/>
      <c r="EL483" s="220"/>
      <c r="EM483" s="220"/>
      <c r="EN483" s="220"/>
      <c r="EO483" s="220"/>
      <c r="EP483" s="220"/>
      <c r="EQ483" s="220"/>
      <c r="ER483" s="220"/>
      <c r="ES483" s="220"/>
      <c r="ET483" s="220"/>
      <c r="EU483" s="220"/>
      <c r="EV483" s="220"/>
      <c r="EW483" s="220"/>
      <c r="EX483" s="220"/>
      <c r="EY483" s="220"/>
      <c r="EZ483" s="220"/>
      <c r="FA483" s="220"/>
      <c r="FB483" s="220"/>
      <c r="FC483" s="220"/>
      <c r="FD483" s="220"/>
      <c r="FE483" s="220"/>
      <c r="FF483" s="220"/>
      <c r="FG483" s="220"/>
      <c r="FH483" s="220"/>
      <c r="FI483" s="220"/>
      <c r="FJ483" s="220"/>
      <c r="FK483" s="220"/>
      <c r="FL483" s="220"/>
      <c r="FM483" s="220"/>
      <c r="FN483" s="220"/>
      <c r="FO483" s="220"/>
      <c r="FP483" s="220"/>
      <c r="FQ483" s="220"/>
      <c r="FR483" s="220"/>
      <c r="FS483" s="220"/>
      <c r="FT483" s="220"/>
      <c r="FU483" s="220"/>
      <c r="FV483" s="220"/>
      <c r="FW483" s="220"/>
      <c r="FX483" s="220"/>
      <c r="FY483" s="220"/>
      <c r="FZ483" s="220"/>
      <c r="GA483" s="220"/>
      <c r="GB483" s="220"/>
      <c r="GC483" s="220"/>
      <c r="GD483" s="220"/>
      <c r="GE483" s="220"/>
      <c r="GF483" s="220"/>
      <c r="GG483" s="220"/>
      <c r="GH483" s="220"/>
      <c r="GI483" s="220"/>
      <c r="GJ483" s="220"/>
      <c r="GK483" s="220"/>
      <c r="GL483" s="220"/>
      <c r="GM483" s="220"/>
      <c r="GN483" s="220"/>
      <c r="GO483" s="220"/>
      <c r="GP483" s="220"/>
      <c r="GQ483" s="220"/>
      <c r="GR483" s="220"/>
      <c r="GS483" s="220"/>
      <c r="GT483" s="220"/>
      <c r="GU483" s="220"/>
      <c r="GV483" s="220"/>
      <c r="GW483" s="220"/>
      <c r="GX483" s="220"/>
      <c r="GY483" s="220"/>
      <c r="GZ483" s="220"/>
      <c r="HA483" s="220"/>
      <c r="HB483" s="220"/>
      <c r="HC483" s="220"/>
      <c r="HD483" s="220"/>
      <c r="HE483" s="220"/>
      <c r="HF483" s="220"/>
      <c r="HG483" s="220"/>
      <c r="HH483" s="220"/>
      <c r="HI483" s="220"/>
      <c r="HJ483" s="220"/>
      <c r="HK483" s="220"/>
      <c r="HL483" s="220"/>
      <c r="HM483" s="220"/>
      <c r="HN483" s="220"/>
      <c r="HO483" s="220"/>
      <c r="HP483" s="220"/>
      <c r="HQ483" s="220"/>
      <c r="HR483" s="220"/>
      <c r="HS483" s="220"/>
      <c r="HT483" s="220"/>
      <c r="HU483" s="220"/>
      <c r="HV483" s="220"/>
      <c r="HW483" s="220"/>
      <c r="HX483" s="220"/>
      <c r="HY483" s="220"/>
      <c r="HZ483" s="220"/>
      <c r="IA483" s="220"/>
      <c r="IB483" s="220"/>
      <c r="IC483" s="220"/>
      <c r="ID483" s="220"/>
      <c r="IE483" s="220"/>
      <c r="IF483" s="220"/>
      <c r="IG483" s="220"/>
      <c r="IH483" s="220"/>
      <c r="II483" s="220"/>
      <c r="IJ483" s="220"/>
      <c r="IK483" s="220"/>
      <c r="IL483" s="220"/>
      <c r="IM483" s="220"/>
      <c r="IN483" s="220"/>
      <c r="IO483" s="220"/>
      <c r="IP483" s="220"/>
      <c r="IQ483" s="220"/>
      <c r="IR483" s="220"/>
      <c r="IS483" s="220"/>
      <c r="IT483" s="220"/>
      <c r="IU483" s="220"/>
      <c r="IV483" s="220"/>
      <c r="IW483" s="220"/>
      <c r="IX483" s="220"/>
      <c r="IY483" s="220"/>
      <c r="IZ483" s="220"/>
      <c r="JA483" s="220"/>
      <c r="JB483" s="220"/>
      <c r="JC483" s="220"/>
      <c r="JD483" s="220"/>
      <c r="JE483" s="220"/>
      <c r="JF483" s="220"/>
      <c r="JG483" s="220"/>
      <c r="JH483" s="220"/>
      <c r="JI483" s="220"/>
      <c r="JJ483" s="220"/>
      <c r="JK483" s="220"/>
      <c r="JL483" s="220"/>
      <c r="JM483" s="220"/>
      <c r="JN483" s="220"/>
      <c r="JO483" s="220"/>
      <c r="JP483" s="220"/>
      <c r="JQ483" s="220"/>
      <c r="JR483" s="220"/>
      <c r="JS483" s="220"/>
      <c r="JT483" s="220"/>
      <c r="JU483" s="220"/>
      <c r="JV483" s="220"/>
      <c r="JW483" s="220"/>
      <c r="JX483" s="220"/>
      <c r="JY483" s="220"/>
      <c r="JZ483" s="220"/>
      <c r="KA483" s="220"/>
      <c r="KB483" s="220"/>
      <c r="KC483" s="220"/>
      <c r="KD483" s="220"/>
      <c r="KE483" s="220"/>
      <c r="KF483" s="220"/>
      <c r="KG483" s="220"/>
      <c r="KH483" s="220"/>
      <c r="KI483" s="220"/>
      <c r="KJ483" s="220"/>
      <c r="KK483" s="220"/>
      <c r="KL483" s="220"/>
      <c r="KM483" s="220"/>
      <c r="KN483" s="220"/>
      <c r="KO483" s="220"/>
      <c r="KP483" s="220"/>
      <c r="KQ483" s="220"/>
      <c r="KR483" s="220"/>
      <c r="KS483" s="220"/>
      <c r="KT483" s="220"/>
      <c r="KU483" s="220"/>
      <c r="KV483" s="220"/>
      <c r="KW483" s="220"/>
      <c r="KX483" s="220"/>
      <c r="KY483" s="220"/>
      <c r="KZ483" s="220"/>
      <c r="LA483" s="220"/>
      <c r="LB483" s="220"/>
      <c r="LC483" s="220"/>
      <c r="LD483" s="220"/>
      <c r="LE483" s="220"/>
      <c r="LF483" s="220"/>
      <c r="LG483" s="220"/>
      <c r="LH483" s="220"/>
      <c r="LI483" s="220"/>
      <c r="LJ483" s="220"/>
      <c r="LK483" s="220"/>
      <c r="LL483" s="220"/>
      <c r="LM483" s="220"/>
      <c r="LN483" s="220"/>
      <c r="LO483" s="220"/>
      <c r="LP483" s="220"/>
      <c r="LQ483" s="220"/>
      <c r="LR483" s="220"/>
      <c r="LS483" s="220"/>
      <c r="LT483" s="220"/>
      <c r="LU483" s="220"/>
      <c r="LV483" s="220"/>
      <c r="LW483" s="220"/>
      <c r="LX483" s="220"/>
      <c r="LY483" s="220"/>
      <c r="LZ483" s="220"/>
      <c r="MA483" s="220"/>
      <c r="MB483" s="220"/>
      <c r="MC483" s="220"/>
      <c r="MD483" s="220"/>
      <c r="ME483" s="220"/>
      <c r="MF483" s="220"/>
      <c r="MG483" s="220"/>
      <c r="MH483" s="220"/>
      <c r="MI483" s="220"/>
      <c r="MJ483" s="220"/>
      <c r="MK483" s="220"/>
      <c r="ML483" s="220"/>
      <c r="MM483" s="220"/>
      <c r="MN483" s="220"/>
      <c r="MO483" s="220"/>
      <c r="MP483" s="220"/>
      <c r="MQ483" s="220"/>
      <c r="MR483" s="220"/>
      <c r="MS483" s="220"/>
      <c r="MT483" s="220"/>
      <c r="MU483" s="220"/>
      <c r="MV483" s="220"/>
      <c r="MW483" s="220"/>
      <c r="MX483" s="220"/>
      <c r="MY483" s="220"/>
      <c r="MZ483" s="220"/>
      <c r="NA483" s="220"/>
      <c r="NB483" s="220"/>
      <c r="NC483" s="220"/>
      <c r="ND483" s="220"/>
      <c r="NE483" s="220"/>
      <c r="NF483" s="220"/>
      <c r="NG483" s="220"/>
      <c r="NH483" s="220"/>
      <c r="NI483" s="220"/>
      <c r="NJ483" s="220"/>
      <c r="NK483" s="220"/>
      <c r="NL483" s="220"/>
      <c r="NM483" s="220"/>
      <c r="NN483" s="220"/>
      <c r="NO483" s="220"/>
      <c r="NP483" s="220"/>
      <c r="NQ483" s="220"/>
      <c r="NR483" s="220"/>
      <c r="NS483" s="220"/>
      <c r="NT483" s="220"/>
      <c r="NU483" s="220"/>
      <c r="NV483" s="220"/>
      <c r="NW483" s="220"/>
      <c r="NX483" s="220"/>
      <c r="NY483" s="220"/>
      <c r="NZ483" s="220"/>
      <c r="OA483" s="220"/>
      <c r="OB483" s="220"/>
      <c r="OC483" s="220"/>
      <c r="OD483" s="220"/>
      <c r="OE483" s="220"/>
      <c r="OF483" s="220"/>
      <c r="OG483" s="220"/>
      <c r="OH483" s="220"/>
      <c r="OI483" s="220"/>
      <c r="OJ483" s="220"/>
      <c r="OK483" s="220"/>
      <c r="OL483" s="220"/>
      <c r="OM483" s="220"/>
      <c r="ON483" s="220"/>
      <c r="OO483" s="220"/>
      <c r="OP483" s="220"/>
      <c r="OQ483" s="220"/>
      <c r="OR483" s="220"/>
      <c r="OS483" s="220"/>
      <c r="OT483" s="220"/>
      <c r="OU483" s="220"/>
      <c r="OV483" s="220"/>
      <c r="OW483" s="220"/>
      <c r="OX483" s="220"/>
      <c r="OY483" s="220"/>
      <c r="OZ483" s="220"/>
      <c r="PA483" s="220"/>
      <c r="PB483" s="220"/>
      <c r="PC483" s="220"/>
      <c r="PD483" s="220"/>
      <c r="PE483" s="220"/>
      <c r="PF483" s="220"/>
      <c r="PG483" s="220"/>
      <c r="PH483" s="220"/>
      <c r="PI483" s="220"/>
      <c r="PJ483" s="220"/>
      <c r="PK483" s="220"/>
      <c r="PL483" s="220"/>
      <c r="PM483" s="220"/>
      <c r="PN483" s="220"/>
      <c r="PO483" s="220"/>
      <c r="PP483" s="220"/>
      <c r="PQ483" s="220"/>
      <c r="PR483" s="220"/>
      <c r="PS483" s="220"/>
      <c r="PT483" s="220"/>
      <c r="PU483" s="220"/>
      <c r="PV483" s="220"/>
      <c r="PW483" s="220"/>
      <c r="PX483" s="220"/>
      <c r="PY483" s="220"/>
      <c r="PZ483" s="220"/>
      <c r="QA483" s="220"/>
      <c r="QB483" s="220"/>
      <c r="QC483" s="220"/>
      <c r="QD483" s="220"/>
      <c r="QE483" s="220"/>
      <c r="QF483" s="220"/>
      <c r="QG483" s="220"/>
      <c r="QH483" s="220"/>
      <c r="QI483" s="220"/>
      <c r="QJ483" s="220"/>
      <c r="QK483" s="220"/>
      <c r="QL483" s="220"/>
      <c r="QM483" s="220"/>
      <c r="QN483" s="220"/>
      <c r="QO483" s="220"/>
      <c r="QP483" s="220"/>
      <c r="QQ483" s="220"/>
      <c r="QR483" s="220"/>
      <c r="QS483" s="220"/>
      <c r="QT483" s="220"/>
      <c r="QU483" s="220"/>
      <c r="QV483" s="220"/>
      <c r="QW483" s="220"/>
      <c r="QX483" s="220"/>
      <c r="QY483" s="220"/>
      <c r="QZ483" s="220"/>
      <c r="RA483" s="220"/>
      <c r="RB483" s="220"/>
      <c r="RC483" s="220"/>
      <c r="RD483" s="220"/>
      <c r="RE483" s="220"/>
      <c r="RF483" s="220"/>
      <c r="RG483" s="220"/>
      <c r="RH483" s="220"/>
      <c r="RI483" s="220"/>
      <c r="RJ483" s="220"/>
      <c r="RK483" s="220"/>
      <c r="RL483" s="220"/>
      <c r="RM483" s="220"/>
      <c r="RN483" s="220"/>
      <c r="RO483" s="220"/>
      <c r="RP483" s="220"/>
      <c r="RQ483" s="220"/>
      <c r="RR483" s="220"/>
      <c r="RS483" s="220"/>
      <c r="RT483" s="220"/>
      <c r="RU483" s="220"/>
      <c r="RV483" s="220"/>
      <c r="RW483" s="220"/>
      <c r="RX483" s="220"/>
      <c r="RY483" s="220"/>
      <c r="RZ483" s="220"/>
      <c r="SA483" s="220"/>
      <c r="SB483" s="220"/>
      <c r="SC483" s="220"/>
      <c r="SD483" s="220"/>
      <c r="SE483" s="220"/>
      <c r="SF483" s="220"/>
      <c r="SG483" s="220"/>
      <c r="SH483" s="220"/>
      <c r="SI483" s="220"/>
      <c r="SJ483" s="220"/>
      <c r="SK483" s="220"/>
      <c r="SL483" s="220"/>
      <c r="SM483" s="220"/>
      <c r="SN483" s="220"/>
      <c r="SO483" s="220"/>
      <c r="SP483" s="220"/>
      <c r="SQ483" s="220"/>
      <c r="SR483" s="220"/>
      <c r="SS483" s="220"/>
      <c r="ST483" s="220"/>
      <c r="SU483" s="220"/>
      <c r="SV483" s="220"/>
      <c r="SW483" s="220"/>
      <c r="SX483" s="220"/>
      <c r="SY483" s="220"/>
      <c r="SZ483" s="220"/>
      <c r="TA483" s="220"/>
      <c r="TB483" s="220"/>
      <c r="TC483" s="220"/>
      <c r="TD483" s="220"/>
      <c r="TE483" s="220"/>
      <c r="TF483" s="220"/>
      <c r="TG483" s="220"/>
      <c r="TH483" s="220"/>
      <c r="TI483" s="220"/>
      <c r="TJ483" s="220"/>
      <c r="TK483" s="220"/>
      <c r="TL483" s="220"/>
      <c r="TM483" s="220"/>
      <c r="TN483" s="220"/>
      <c r="TO483" s="220"/>
      <c r="TP483" s="220"/>
      <c r="TQ483" s="220"/>
      <c r="TR483" s="220"/>
      <c r="TS483" s="220"/>
      <c r="TT483" s="220"/>
      <c r="TU483" s="220"/>
      <c r="TV483" s="220"/>
      <c r="TW483" s="220"/>
      <c r="TX483" s="220"/>
      <c r="TY483" s="220"/>
      <c r="TZ483" s="220"/>
      <c r="UA483" s="220"/>
      <c r="UB483" s="220"/>
      <c r="UC483" s="220"/>
      <c r="UD483" s="220"/>
      <c r="UE483" s="220"/>
      <c r="UF483" s="220"/>
      <c r="UG483" s="220"/>
      <c r="UH483" s="220"/>
      <c r="UI483" s="220"/>
      <c r="UJ483" s="220"/>
      <c r="UK483" s="220"/>
      <c r="UL483" s="220"/>
      <c r="UM483" s="220"/>
      <c r="UN483" s="220"/>
      <c r="UO483" s="220"/>
      <c r="UP483" s="220"/>
      <c r="UQ483" s="220"/>
      <c r="UR483" s="220"/>
      <c r="US483" s="220"/>
      <c r="UT483" s="220"/>
      <c r="UU483" s="220"/>
      <c r="UV483" s="220"/>
      <c r="UW483" s="220"/>
      <c r="UX483" s="220"/>
      <c r="UY483" s="220"/>
      <c r="UZ483" s="220"/>
      <c r="VA483" s="220"/>
      <c r="VB483" s="220"/>
      <c r="VC483" s="220"/>
      <c r="VD483" s="220"/>
      <c r="VE483" s="220"/>
      <c r="VF483" s="220"/>
      <c r="VG483" s="220"/>
      <c r="VH483" s="220"/>
      <c r="VI483" s="220"/>
      <c r="VJ483" s="220"/>
      <c r="VK483" s="220"/>
      <c r="VL483" s="220"/>
      <c r="VM483" s="220"/>
      <c r="VN483" s="220"/>
      <c r="VO483" s="220"/>
      <c r="VP483" s="220"/>
      <c r="VQ483" s="220"/>
      <c r="VR483" s="220"/>
      <c r="VS483" s="220"/>
      <c r="VT483" s="220"/>
      <c r="VU483" s="220"/>
      <c r="VV483" s="220"/>
      <c r="VW483" s="220"/>
      <c r="VX483" s="220"/>
      <c r="VY483" s="220"/>
      <c r="VZ483" s="220"/>
      <c r="WA483" s="220"/>
      <c r="WB483" s="220"/>
      <c r="WC483" s="220"/>
      <c r="WD483" s="220"/>
      <c r="WE483" s="220"/>
      <c r="WF483" s="220"/>
      <c r="WG483" s="220"/>
      <c r="WH483" s="220"/>
      <c r="WI483" s="220"/>
      <c r="WJ483" s="220"/>
      <c r="WK483" s="220"/>
      <c r="WL483" s="220"/>
      <c r="WM483" s="220"/>
      <c r="WN483" s="220"/>
      <c r="WO483" s="220"/>
      <c r="WP483" s="220"/>
      <c r="WQ483" s="220"/>
      <c r="WR483" s="220"/>
      <c r="WS483" s="220"/>
      <c r="WT483" s="220"/>
      <c r="WU483" s="220"/>
      <c r="WV483" s="220"/>
      <c r="WW483" s="220"/>
      <c r="WX483" s="220"/>
      <c r="WY483" s="220"/>
      <c r="WZ483" s="220"/>
      <c r="XA483" s="220"/>
      <c r="XB483" s="220"/>
      <c r="XC483" s="220"/>
      <c r="XD483" s="220"/>
      <c r="XE483" s="220"/>
      <c r="XF483" s="220"/>
      <c r="XG483" s="220"/>
      <c r="XH483" s="220"/>
      <c r="XI483" s="220"/>
      <c r="XJ483" s="220"/>
      <c r="XK483" s="220"/>
      <c r="XL483" s="220"/>
      <c r="XM483" s="220"/>
      <c r="XN483" s="220"/>
      <c r="XO483" s="220"/>
      <c r="XP483" s="220"/>
      <c r="XQ483" s="220"/>
      <c r="XR483" s="220"/>
      <c r="XS483" s="220"/>
      <c r="XT483" s="220"/>
      <c r="XU483" s="220"/>
      <c r="XV483" s="220"/>
      <c r="XW483" s="220"/>
      <c r="XX483" s="220"/>
      <c r="XY483" s="220"/>
      <c r="XZ483" s="220"/>
      <c r="YA483" s="220"/>
      <c r="YB483" s="220"/>
      <c r="YC483" s="220"/>
      <c r="YD483" s="220"/>
      <c r="YE483" s="220"/>
      <c r="YF483" s="220"/>
      <c r="YG483" s="220"/>
      <c r="YH483" s="220"/>
      <c r="YI483" s="220"/>
      <c r="YJ483" s="220"/>
      <c r="YK483" s="220"/>
      <c r="YL483" s="220"/>
      <c r="YM483" s="220"/>
      <c r="YN483" s="220"/>
      <c r="YO483" s="220"/>
      <c r="YP483" s="220"/>
      <c r="YQ483" s="220"/>
      <c r="YR483" s="220"/>
      <c r="YS483" s="220"/>
      <c r="YT483" s="220"/>
      <c r="YU483" s="220"/>
      <c r="YV483" s="220"/>
      <c r="YW483" s="220"/>
      <c r="YX483" s="220"/>
      <c r="YY483" s="220"/>
      <c r="YZ483" s="220"/>
      <c r="ZA483" s="220"/>
      <c r="ZB483" s="220"/>
      <c r="ZC483" s="220"/>
      <c r="ZD483" s="220"/>
      <c r="ZE483" s="220"/>
      <c r="ZF483" s="220"/>
      <c r="ZG483" s="220"/>
      <c r="ZH483" s="220"/>
      <c r="ZI483" s="220"/>
      <c r="ZJ483" s="220"/>
      <c r="ZK483" s="220"/>
      <c r="ZL483" s="220"/>
      <c r="ZM483" s="220"/>
      <c r="ZN483" s="220"/>
      <c r="ZO483" s="220"/>
      <c r="ZP483" s="220"/>
      <c r="ZQ483" s="220"/>
      <c r="ZR483" s="220"/>
      <c r="ZS483" s="220"/>
      <c r="ZT483" s="220"/>
      <c r="ZU483" s="220"/>
      <c r="ZV483" s="220"/>
      <c r="ZW483" s="220"/>
      <c r="ZX483" s="220"/>
      <c r="ZY483" s="220"/>
      <c r="ZZ483" s="220"/>
      <c r="AAA483" s="220"/>
      <c r="AAB483" s="220"/>
      <c r="AAC483" s="220"/>
      <c r="AAD483" s="220"/>
      <c r="AAE483" s="220"/>
      <c r="AAF483" s="220"/>
      <c r="AAG483" s="220"/>
      <c r="AAH483" s="220"/>
      <c r="AAI483" s="220"/>
      <c r="AAJ483" s="220"/>
      <c r="AAK483" s="220"/>
      <c r="AAL483" s="220"/>
      <c r="AAM483" s="220"/>
      <c r="AAN483" s="220"/>
      <c r="AAO483" s="220"/>
      <c r="AAP483" s="220"/>
      <c r="AAQ483" s="220"/>
      <c r="AAR483" s="220"/>
      <c r="AAS483" s="220"/>
      <c r="AAT483" s="220"/>
      <c r="AAU483" s="220"/>
      <c r="AAV483" s="220"/>
      <c r="AAW483" s="220"/>
      <c r="AAX483" s="220"/>
      <c r="AAY483" s="220"/>
      <c r="AAZ483" s="220"/>
      <c r="ABA483" s="220"/>
      <c r="ABB483" s="220"/>
      <c r="ABC483" s="220"/>
      <c r="ABD483" s="220"/>
      <c r="ABE483" s="220"/>
      <c r="ABF483" s="220"/>
      <c r="ABG483" s="220"/>
    </row>
    <row r="484" spans="1:735" s="246" customFormat="1" x14ac:dyDescent="0.2">
      <c r="A484" s="180">
        <v>3399</v>
      </c>
      <c r="B484" s="123" t="s">
        <v>331</v>
      </c>
      <c r="C484" s="136">
        <v>40000</v>
      </c>
      <c r="D484" s="136">
        <f>40000-20000</f>
        <v>20000</v>
      </c>
      <c r="E484" s="549">
        <v>8785.56</v>
      </c>
      <c r="F484" s="496"/>
      <c r="G484" s="120">
        <f t="shared" si="148"/>
        <v>21.963899999999999</v>
      </c>
      <c r="H484" s="120">
        <f>E484/D484*100</f>
        <v>43.927799999999998</v>
      </c>
      <c r="I484" s="120">
        <f>E484/J484*100</f>
        <v>26.357109620886821</v>
      </c>
      <c r="J484" s="162">
        <v>33332.79</v>
      </c>
      <c r="K484" s="220"/>
      <c r="L484" s="220"/>
      <c r="M484" s="220"/>
      <c r="N484" s="220"/>
      <c r="O484" s="220"/>
      <c r="P484" s="220"/>
      <c r="Q484" s="220"/>
      <c r="R484" s="220"/>
      <c r="S484" s="220"/>
      <c r="T484" s="220"/>
      <c r="U484" s="220"/>
      <c r="V484" s="220"/>
      <c r="W484" s="220"/>
      <c r="X484" s="220"/>
      <c r="Y484" s="220"/>
      <c r="Z484" s="220"/>
      <c r="AA484" s="220"/>
      <c r="AB484" s="220"/>
      <c r="AC484" s="220"/>
      <c r="AD484" s="220"/>
      <c r="AE484" s="220"/>
      <c r="AF484" s="220"/>
      <c r="AG484" s="220"/>
      <c r="AH484" s="220"/>
      <c r="AI484" s="220"/>
      <c r="AJ484" s="220"/>
      <c r="AK484" s="220"/>
      <c r="AL484" s="220"/>
      <c r="AM484" s="220"/>
      <c r="AN484" s="220"/>
      <c r="AO484" s="220"/>
      <c r="AP484" s="220"/>
      <c r="AQ484" s="220"/>
      <c r="AR484" s="220"/>
      <c r="AS484" s="220"/>
      <c r="AT484" s="220"/>
      <c r="AU484" s="220"/>
      <c r="AV484" s="220"/>
      <c r="AW484" s="220"/>
      <c r="AX484" s="220"/>
      <c r="AY484" s="220"/>
      <c r="AZ484" s="220"/>
      <c r="BA484" s="220"/>
      <c r="BB484" s="220"/>
      <c r="BC484" s="220"/>
      <c r="BD484" s="220"/>
      <c r="BE484" s="220"/>
      <c r="BF484" s="220"/>
      <c r="BG484" s="220"/>
      <c r="BH484" s="220"/>
      <c r="BI484" s="220"/>
      <c r="BJ484" s="220"/>
      <c r="BK484" s="220"/>
      <c r="BL484" s="220"/>
      <c r="BM484" s="220"/>
      <c r="BN484" s="220"/>
      <c r="BO484" s="220"/>
      <c r="BP484" s="220"/>
      <c r="BQ484" s="220"/>
      <c r="BR484" s="220"/>
      <c r="BS484" s="220"/>
      <c r="BT484" s="220"/>
      <c r="BU484" s="220"/>
      <c r="BV484" s="220"/>
      <c r="BW484" s="220"/>
      <c r="BX484" s="220"/>
      <c r="BY484" s="220"/>
      <c r="BZ484" s="220"/>
      <c r="CA484" s="220"/>
      <c r="CB484" s="220"/>
      <c r="CC484" s="220"/>
      <c r="CD484" s="220"/>
      <c r="CE484" s="220"/>
      <c r="CF484" s="220"/>
      <c r="CG484" s="220"/>
      <c r="CH484" s="220"/>
      <c r="CI484" s="220"/>
      <c r="CJ484" s="220"/>
      <c r="CK484" s="220"/>
      <c r="CL484" s="220"/>
      <c r="CM484" s="220"/>
      <c r="CN484" s="220"/>
      <c r="CO484" s="220"/>
      <c r="CP484" s="220"/>
      <c r="CQ484" s="220"/>
      <c r="CR484" s="220"/>
      <c r="CS484" s="220"/>
      <c r="CT484" s="220"/>
      <c r="CU484" s="220"/>
      <c r="CV484" s="220"/>
      <c r="CW484" s="220"/>
      <c r="CX484" s="220"/>
      <c r="CY484" s="220"/>
      <c r="CZ484" s="220"/>
      <c r="DA484" s="220"/>
      <c r="DB484" s="220"/>
      <c r="DC484" s="220"/>
      <c r="DD484" s="220"/>
      <c r="DE484" s="220"/>
      <c r="DF484" s="220"/>
      <c r="DG484" s="220"/>
      <c r="DH484" s="220"/>
      <c r="DI484" s="220"/>
      <c r="DJ484" s="220"/>
      <c r="DK484" s="220"/>
      <c r="DL484" s="220"/>
      <c r="DM484" s="220"/>
      <c r="DN484" s="220"/>
      <c r="DO484" s="220"/>
      <c r="DP484" s="220"/>
      <c r="DQ484" s="220"/>
      <c r="DR484" s="220"/>
      <c r="DS484" s="220"/>
      <c r="DT484" s="220"/>
      <c r="DU484" s="220"/>
      <c r="DV484" s="220"/>
      <c r="DW484" s="220"/>
      <c r="DX484" s="220"/>
      <c r="DY484" s="220"/>
      <c r="DZ484" s="220"/>
      <c r="EA484" s="220"/>
      <c r="EB484" s="220"/>
      <c r="EC484" s="220"/>
      <c r="ED484" s="220"/>
      <c r="EE484" s="220"/>
      <c r="EF484" s="220"/>
      <c r="EG484" s="220"/>
      <c r="EH484" s="220"/>
      <c r="EI484" s="220"/>
      <c r="EJ484" s="220"/>
      <c r="EK484" s="220"/>
      <c r="EL484" s="220"/>
      <c r="EM484" s="220"/>
      <c r="EN484" s="220"/>
      <c r="EO484" s="220"/>
      <c r="EP484" s="220"/>
      <c r="EQ484" s="220"/>
      <c r="ER484" s="220"/>
      <c r="ES484" s="220"/>
      <c r="ET484" s="220"/>
      <c r="EU484" s="220"/>
      <c r="EV484" s="220"/>
      <c r="EW484" s="220"/>
      <c r="EX484" s="220"/>
      <c r="EY484" s="220"/>
      <c r="EZ484" s="220"/>
      <c r="FA484" s="220"/>
      <c r="FB484" s="220"/>
      <c r="FC484" s="220"/>
      <c r="FD484" s="220"/>
      <c r="FE484" s="220"/>
      <c r="FF484" s="220"/>
      <c r="FG484" s="220"/>
      <c r="FH484" s="220"/>
      <c r="FI484" s="220"/>
      <c r="FJ484" s="220"/>
      <c r="FK484" s="220"/>
      <c r="FL484" s="220"/>
      <c r="FM484" s="220"/>
      <c r="FN484" s="220"/>
      <c r="FO484" s="220"/>
      <c r="FP484" s="220"/>
      <c r="FQ484" s="220"/>
      <c r="FR484" s="220"/>
      <c r="FS484" s="220"/>
      <c r="FT484" s="220"/>
      <c r="FU484" s="220"/>
      <c r="FV484" s="220"/>
      <c r="FW484" s="220"/>
      <c r="FX484" s="220"/>
      <c r="FY484" s="220"/>
      <c r="FZ484" s="220"/>
      <c r="GA484" s="220"/>
      <c r="GB484" s="220"/>
      <c r="GC484" s="220"/>
      <c r="GD484" s="220"/>
      <c r="GE484" s="220"/>
      <c r="GF484" s="220"/>
      <c r="GG484" s="220"/>
      <c r="GH484" s="220"/>
      <c r="GI484" s="220"/>
      <c r="GJ484" s="220"/>
      <c r="GK484" s="220"/>
      <c r="GL484" s="220"/>
      <c r="GM484" s="220"/>
      <c r="GN484" s="220"/>
      <c r="GO484" s="220"/>
      <c r="GP484" s="220"/>
      <c r="GQ484" s="220"/>
      <c r="GR484" s="220"/>
      <c r="GS484" s="220"/>
      <c r="GT484" s="220"/>
      <c r="GU484" s="220"/>
      <c r="GV484" s="220"/>
      <c r="GW484" s="220"/>
      <c r="GX484" s="220"/>
      <c r="GY484" s="220"/>
      <c r="GZ484" s="220"/>
      <c r="HA484" s="220"/>
      <c r="HB484" s="220"/>
      <c r="HC484" s="220"/>
      <c r="HD484" s="220"/>
      <c r="HE484" s="220"/>
      <c r="HF484" s="220"/>
      <c r="HG484" s="220"/>
      <c r="HH484" s="220"/>
      <c r="HI484" s="220"/>
      <c r="HJ484" s="220"/>
      <c r="HK484" s="220"/>
      <c r="HL484" s="220"/>
      <c r="HM484" s="220"/>
      <c r="HN484" s="220"/>
      <c r="HO484" s="220"/>
      <c r="HP484" s="220"/>
      <c r="HQ484" s="220"/>
      <c r="HR484" s="220"/>
      <c r="HS484" s="220"/>
      <c r="HT484" s="220"/>
      <c r="HU484" s="220"/>
      <c r="HV484" s="220"/>
      <c r="HW484" s="220"/>
      <c r="HX484" s="220"/>
      <c r="HY484" s="220"/>
      <c r="HZ484" s="220"/>
      <c r="IA484" s="220"/>
      <c r="IB484" s="220"/>
      <c r="IC484" s="220"/>
      <c r="ID484" s="220"/>
      <c r="IE484" s="220"/>
      <c r="IF484" s="220"/>
      <c r="IG484" s="220"/>
      <c r="IH484" s="220"/>
      <c r="II484" s="220"/>
      <c r="IJ484" s="220"/>
      <c r="IK484" s="220"/>
      <c r="IL484" s="220"/>
      <c r="IM484" s="220"/>
      <c r="IN484" s="220"/>
      <c r="IO484" s="220"/>
      <c r="IP484" s="220"/>
      <c r="IQ484" s="220"/>
      <c r="IR484" s="220"/>
      <c r="IS484" s="220"/>
      <c r="IT484" s="220"/>
      <c r="IU484" s="220"/>
      <c r="IV484" s="220"/>
      <c r="IW484" s="220"/>
      <c r="IX484" s="220"/>
      <c r="IY484" s="220"/>
      <c r="IZ484" s="220"/>
      <c r="JA484" s="220"/>
      <c r="JB484" s="220"/>
      <c r="JC484" s="220"/>
      <c r="JD484" s="220"/>
      <c r="JE484" s="220"/>
      <c r="JF484" s="220"/>
      <c r="JG484" s="220"/>
      <c r="JH484" s="220"/>
      <c r="JI484" s="220"/>
      <c r="JJ484" s="220"/>
      <c r="JK484" s="220"/>
      <c r="JL484" s="220"/>
      <c r="JM484" s="220"/>
      <c r="JN484" s="220"/>
      <c r="JO484" s="220"/>
      <c r="JP484" s="220"/>
      <c r="JQ484" s="220"/>
      <c r="JR484" s="220"/>
      <c r="JS484" s="220"/>
      <c r="JT484" s="220"/>
      <c r="JU484" s="220"/>
      <c r="JV484" s="220"/>
      <c r="JW484" s="220"/>
      <c r="JX484" s="220"/>
      <c r="JY484" s="220"/>
      <c r="JZ484" s="220"/>
      <c r="KA484" s="220"/>
      <c r="KB484" s="220"/>
      <c r="KC484" s="220"/>
      <c r="KD484" s="220"/>
      <c r="KE484" s="220"/>
      <c r="KF484" s="220"/>
      <c r="KG484" s="220"/>
      <c r="KH484" s="220"/>
      <c r="KI484" s="220"/>
      <c r="KJ484" s="220"/>
      <c r="KK484" s="220"/>
      <c r="KL484" s="220"/>
      <c r="KM484" s="220"/>
      <c r="KN484" s="220"/>
      <c r="KO484" s="220"/>
      <c r="KP484" s="220"/>
      <c r="KQ484" s="220"/>
      <c r="KR484" s="220"/>
      <c r="KS484" s="220"/>
      <c r="KT484" s="220"/>
      <c r="KU484" s="220"/>
      <c r="KV484" s="220"/>
      <c r="KW484" s="220"/>
      <c r="KX484" s="220"/>
      <c r="KY484" s="220"/>
      <c r="KZ484" s="220"/>
      <c r="LA484" s="220"/>
      <c r="LB484" s="220"/>
      <c r="LC484" s="220"/>
      <c r="LD484" s="220"/>
      <c r="LE484" s="220"/>
      <c r="LF484" s="220"/>
      <c r="LG484" s="220"/>
      <c r="LH484" s="220"/>
      <c r="LI484" s="220"/>
      <c r="LJ484" s="220"/>
      <c r="LK484" s="220"/>
      <c r="LL484" s="220"/>
      <c r="LM484" s="220"/>
      <c r="LN484" s="220"/>
      <c r="LO484" s="220"/>
      <c r="LP484" s="220"/>
      <c r="LQ484" s="220"/>
      <c r="LR484" s="220"/>
      <c r="LS484" s="220"/>
      <c r="LT484" s="220"/>
      <c r="LU484" s="220"/>
      <c r="LV484" s="220"/>
      <c r="LW484" s="220"/>
      <c r="LX484" s="220"/>
      <c r="LY484" s="220"/>
      <c r="LZ484" s="220"/>
      <c r="MA484" s="220"/>
      <c r="MB484" s="220"/>
      <c r="MC484" s="220"/>
      <c r="MD484" s="220"/>
      <c r="ME484" s="220"/>
      <c r="MF484" s="220"/>
      <c r="MG484" s="220"/>
      <c r="MH484" s="220"/>
      <c r="MI484" s="220"/>
      <c r="MJ484" s="220"/>
      <c r="MK484" s="220"/>
      <c r="ML484" s="220"/>
      <c r="MM484" s="220"/>
      <c r="MN484" s="220"/>
      <c r="MO484" s="220"/>
      <c r="MP484" s="220"/>
      <c r="MQ484" s="220"/>
      <c r="MR484" s="220"/>
      <c r="MS484" s="220"/>
      <c r="MT484" s="220"/>
      <c r="MU484" s="220"/>
      <c r="MV484" s="220"/>
      <c r="MW484" s="220"/>
      <c r="MX484" s="220"/>
      <c r="MY484" s="220"/>
      <c r="MZ484" s="220"/>
      <c r="NA484" s="220"/>
      <c r="NB484" s="220"/>
      <c r="NC484" s="220"/>
      <c r="ND484" s="220"/>
      <c r="NE484" s="220"/>
      <c r="NF484" s="220"/>
      <c r="NG484" s="220"/>
      <c r="NH484" s="220"/>
      <c r="NI484" s="220"/>
      <c r="NJ484" s="220"/>
      <c r="NK484" s="220"/>
      <c r="NL484" s="220"/>
      <c r="NM484" s="220"/>
      <c r="NN484" s="220"/>
      <c r="NO484" s="220"/>
      <c r="NP484" s="220"/>
      <c r="NQ484" s="220"/>
      <c r="NR484" s="220"/>
      <c r="NS484" s="220"/>
      <c r="NT484" s="220"/>
      <c r="NU484" s="220"/>
      <c r="NV484" s="220"/>
      <c r="NW484" s="220"/>
      <c r="NX484" s="220"/>
      <c r="NY484" s="220"/>
      <c r="NZ484" s="220"/>
      <c r="OA484" s="220"/>
      <c r="OB484" s="220"/>
      <c r="OC484" s="220"/>
      <c r="OD484" s="220"/>
      <c r="OE484" s="220"/>
      <c r="OF484" s="220"/>
      <c r="OG484" s="220"/>
      <c r="OH484" s="220"/>
      <c r="OI484" s="220"/>
      <c r="OJ484" s="220"/>
      <c r="OK484" s="220"/>
      <c r="OL484" s="220"/>
      <c r="OM484" s="220"/>
      <c r="ON484" s="220"/>
      <c r="OO484" s="220"/>
      <c r="OP484" s="220"/>
      <c r="OQ484" s="220"/>
      <c r="OR484" s="220"/>
      <c r="OS484" s="220"/>
      <c r="OT484" s="220"/>
      <c r="OU484" s="220"/>
      <c r="OV484" s="220"/>
      <c r="OW484" s="220"/>
      <c r="OX484" s="220"/>
      <c r="OY484" s="220"/>
      <c r="OZ484" s="220"/>
      <c r="PA484" s="220"/>
      <c r="PB484" s="220"/>
      <c r="PC484" s="220"/>
      <c r="PD484" s="220"/>
      <c r="PE484" s="220"/>
      <c r="PF484" s="220"/>
      <c r="PG484" s="220"/>
      <c r="PH484" s="220"/>
      <c r="PI484" s="220"/>
      <c r="PJ484" s="220"/>
      <c r="PK484" s="220"/>
      <c r="PL484" s="220"/>
      <c r="PM484" s="220"/>
      <c r="PN484" s="220"/>
      <c r="PO484" s="220"/>
      <c r="PP484" s="220"/>
      <c r="PQ484" s="220"/>
      <c r="PR484" s="220"/>
      <c r="PS484" s="220"/>
      <c r="PT484" s="220"/>
      <c r="PU484" s="220"/>
      <c r="PV484" s="220"/>
      <c r="PW484" s="220"/>
      <c r="PX484" s="220"/>
      <c r="PY484" s="220"/>
      <c r="PZ484" s="220"/>
      <c r="QA484" s="220"/>
      <c r="QB484" s="220"/>
      <c r="QC484" s="220"/>
      <c r="QD484" s="220"/>
      <c r="QE484" s="220"/>
      <c r="QF484" s="220"/>
      <c r="QG484" s="220"/>
      <c r="QH484" s="220"/>
      <c r="QI484" s="220"/>
      <c r="QJ484" s="220"/>
      <c r="QK484" s="220"/>
      <c r="QL484" s="220"/>
      <c r="QM484" s="220"/>
      <c r="QN484" s="220"/>
      <c r="QO484" s="220"/>
      <c r="QP484" s="220"/>
      <c r="QQ484" s="220"/>
      <c r="QR484" s="220"/>
      <c r="QS484" s="220"/>
      <c r="QT484" s="220"/>
      <c r="QU484" s="220"/>
      <c r="QV484" s="220"/>
      <c r="QW484" s="220"/>
      <c r="QX484" s="220"/>
      <c r="QY484" s="220"/>
      <c r="QZ484" s="220"/>
      <c r="RA484" s="220"/>
      <c r="RB484" s="220"/>
      <c r="RC484" s="220"/>
      <c r="RD484" s="220"/>
      <c r="RE484" s="220"/>
      <c r="RF484" s="220"/>
      <c r="RG484" s="220"/>
      <c r="RH484" s="220"/>
      <c r="RI484" s="220"/>
      <c r="RJ484" s="220"/>
      <c r="RK484" s="220"/>
      <c r="RL484" s="220"/>
      <c r="RM484" s="220"/>
      <c r="RN484" s="220"/>
      <c r="RO484" s="220"/>
      <c r="RP484" s="220"/>
      <c r="RQ484" s="220"/>
      <c r="RR484" s="220"/>
      <c r="RS484" s="220"/>
      <c r="RT484" s="220"/>
      <c r="RU484" s="220"/>
      <c r="RV484" s="220"/>
      <c r="RW484" s="220"/>
      <c r="RX484" s="220"/>
      <c r="RY484" s="220"/>
      <c r="RZ484" s="220"/>
      <c r="SA484" s="220"/>
      <c r="SB484" s="220"/>
      <c r="SC484" s="220"/>
      <c r="SD484" s="220"/>
      <c r="SE484" s="220"/>
      <c r="SF484" s="220"/>
      <c r="SG484" s="220"/>
      <c r="SH484" s="220"/>
      <c r="SI484" s="220"/>
      <c r="SJ484" s="220"/>
      <c r="SK484" s="220"/>
      <c r="SL484" s="220"/>
      <c r="SM484" s="220"/>
      <c r="SN484" s="220"/>
      <c r="SO484" s="220"/>
      <c r="SP484" s="220"/>
      <c r="SQ484" s="220"/>
      <c r="SR484" s="220"/>
      <c r="SS484" s="220"/>
      <c r="ST484" s="220"/>
      <c r="SU484" s="220"/>
      <c r="SV484" s="220"/>
      <c r="SW484" s="220"/>
      <c r="SX484" s="220"/>
      <c r="SY484" s="220"/>
      <c r="SZ484" s="220"/>
      <c r="TA484" s="220"/>
      <c r="TB484" s="220"/>
      <c r="TC484" s="220"/>
      <c r="TD484" s="220"/>
      <c r="TE484" s="220"/>
      <c r="TF484" s="220"/>
      <c r="TG484" s="220"/>
      <c r="TH484" s="220"/>
      <c r="TI484" s="220"/>
      <c r="TJ484" s="220"/>
      <c r="TK484" s="220"/>
      <c r="TL484" s="220"/>
      <c r="TM484" s="220"/>
      <c r="TN484" s="220"/>
      <c r="TO484" s="220"/>
      <c r="TP484" s="220"/>
      <c r="TQ484" s="220"/>
      <c r="TR484" s="220"/>
      <c r="TS484" s="220"/>
      <c r="TT484" s="220"/>
      <c r="TU484" s="220"/>
      <c r="TV484" s="220"/>
      <c r="TW484" s="220"/>
      <c r="TX484" s="220"/>
      <c r="TY484" s="220"/>
      <c r="TZ484" s="220"/>
      <c r="UA484" s="220"/>
      <c r="UB484" s="220"/>
      <c r="UC484" s="220"/>
      <c r="UD484" s="220"/>
      <c r="UE484" s="220"/>
      <c r="UF484" s="220"/>
      <c r="UG484" s="220"/>
      <c r="UH484" s="220"/>
      <c r="UI484" s="220"/>
      <c r="UJ484" s="220"/>
      <c r="UK484" s="220"/>
      <c r="UL484" s="220"/>
      <c r="UM484" s="220"/>
      <c r="UN484" s="220"/>
      <c r="UO484" s="220"/>
      <c r="UP484" s="220"/>
      <c r="UQ484" s="220"/>
      <c r="UR484" s="220"/>
      <c r="US484" s="220"/>
      <c r="UT484" s="220"/>
      <c r="UU484" s="220"/>
      <c r="UV484" s="220"/>
      <c r="UW484" s="220"/>
      <c r="UX484" s="220"/>
      <c r="UY484" s="220"/>
      <c r="UZ484" s="220"/>
      <c r="VA484" s="220"/>
      <c r="VB484" s="220"/>
      <c r="VC484" s="220"/>
      <c r="VD484" s="220"/>
      <c r="VE484" s="220"/>
      <c r="VF484" s="220"/>
      <c r="VG484" s="220"/>
      <c r="VH484" s="220"/>
      <c r="VI484" s="220"/>
      <c r="VJ484" s="220"/>
      <c r="VK484" s="220"/>
      <c r="VL484" s="220"/>
      <c r="VM484" s="220"/>
      <c r="VN484" s="220"/>
      <c r="VO484" s="220"/>
      <c r="VP484" s="220"/>
      <c r="VQ484" s="220"/>
      <c r="VR484" s="220"/>
      <c r="VS484" s="220"/>
      <c r="VT484" s="220"/>
      <c r="VU484" s="220"/>
      <c r="VV484" s="220"/>
      <c r="VW484" s="220"/>
      <c r="VX484" s="220"/>
      <c r="VY484" s="220"/>
      <c r="VZ484" s="220"/>
      <c r="WA484" s="220"/>
      <c r="WB484" s="220"/>
      <c r="WC484" s="220"/>
      <c r="WD484" s="220"/>
      <c r="WE484" s="220"/>
      <c r="WF484" s="220"/>
      <c r="WG484" s="220"/>
      <c r="WH484" s="220"/>
      <c r="WI484" s="220"/>
      <c r="WJ484" s="220"/>
      <c r="WK484" s="220"/>
      <c r="WL484" s="220"/>
      <c r="WM484" s="220"/>
      <c r="WN484" s="220"/>
      <c r="WO484" s="220"/>
      <c r="WP484" s="220"/>
      <c r="WQ484" s="220"/>
      <c r="WR484" s="220"/>
      <c r="WS484" s="220"/>
      <c r="WT484" s="220"/>
      <c r="WU484" s="220"/>
      <c r="WV484" s="220"/>
      <c r="WW484" s="220"/>
      <c r="WX484" s="220"/>
      <c r="WY484" s="220"/>
      <c r="WZ484" s="220"/>
      <c r="XA484" s="220"/>
      <c r="XB484" s="220"/>
      <c r="XC484" s="220"/>
      <c r="XD484" s="220"/>
      <c r="XE484" s="220"/>
      <c r="XF484" s="220"/>
      <c r="XG484" s="220"/>
      <c r="XH484" s="220"/>
      <c r="XI484" s="220"/>
      <c r="XJ484" s="220"/>
      <c r="XK484" s="220"/>
      <c r="XL484" s="220"/>
      <c r="XM484" s="220"/>
      <c r="XN484" s="220"/>
      <c r="XO484" s="220"/>
      <c r="XP484" s="220"/>
      <c r="XQ484" s="220"/>
      <c r="XR484" s="220"/>
      <c r="XS484" s="220"/>
      <c r="XT484" s="220"/>
      <c r="XU484" s="220"/>
      <c r="XV484" s="220"/>
      <c r="XW484" s="220"/>
      <c r="XX484" s="220"/>
      <c r="XY484" s="220"/>
      <c r="XZ484" s="220"/>
      <c r="YA484" s="220"/>
      <c r="YB484" s="220"/>
      <c r="YC484" s="220"/>
      <c r="YD484" s="220"/>
      <c r="YE484" s="220"/>
      <c r="YF484" s="220"/>
      <c r="YG484" s="220"/>
      <c r="YH484" s="220"/>
      <c r="YI484" s="220"/>
      <c r="YJ484" s="220"/>
      <c r="YK484" s="220"/>
      <c r="YL484" s="220"/>
      <c r="YM484" s="220"/>
      <c r="YN484" s="220"/>
      <c r="YO484" s="220"/>
      <c r="YP484" s="220"/>
      <c r="YQ484" s="220"/>
      <c r="YR484" s="220"/>
      <c r="YS484" s="220"/>
      <c r="YT484" s="220"/>
      <c r="YU484" s="220"/>
      <c r="YV484" s="220"/>
      <c r="YW484" s="220"/>
      <c r="YX484" s="220"/>
      <c r="YY484" s="220"/>
      <c r="YZ484" s="220"/>
      <c r="ZA484" s="220"/>
      <c r="ZB484" s="220"/>
      <c r="ZC484" s="220"/>
      <c r="ZD484" s="220"/>
      <c r="ZE484" s="220"/>
      <c r="ZF484" s="220"/>
      <c r="ZG484" s="220"/>
      <c r="ZH484" s="220"/>
      <c r="ZI484" s="220"/>
      <c r="ZJ484" s="220"/>
      <c r="ZK484" s="220"/>
      <c r="ZL484" s="220"/>
      <c r="ZM484" s="220"/>
      <c r="ZN484" s="220"/>
      <c r="ZO484" s="220"/>
      <c r="ZP484" s="220"/>
      <c r="ZQ484" s="220"/>
      <c r="ZR484" s="220"/>
      <c r="ZS484" s="220"/>
      <c r="ZT484" s="220"/>
      <c r="ZU484" s="220"/>
      <c r="ZV484" s="220"/>
      <c r="ZW484" s="220"/>
      <c r="ZX484" s="220"/>
      <c r="ZY484" s="220"/>
      <c r="ZZ484" s="220"/>
      <c r="AAA484" s="220"/>
      <c r="AAB484" s="220"/>
      <c r="AAC484" s="220"/>
      <c r="AAD484" s="220"/>
      <c r="AAE484" s="220"/>
      <c r="AAF484" s="220"/>
      <c r="AAG484" s="220"/>
      <c r="AAH484" s="220"/>
      <c r="AAI484" s="220"/>
      <c r="AAJ484" s="220"/>
      <c r="AAK484" s="220"/>
      <c r="AAL484" s="220"/>
      <c r="AAM484" s="220"/>
      <c r="AAN484" s="220"/>
      <c r="AAO484" s="220"/>
      <c r="AAP484" s="220"/>
      <c r="AAQ484" s="220"/>
      <c r="AAR484" s="220"/>
      <c r="AAS484" s="220"/>
      <c r="AAT484" s="220"/>
      <c r="AAU484" s="220"/>
      <c r="AAV484" s="220"/>
      <c r="AAW484" s="220"/>
      <c r="AAX484" s="220"/>
      <c r="AAY484" s="220"/>
      <c r="AAZ484" s="220"/>
      <c r="ABA484" s="220"/>
      <c r="ABB484" s="220"/>
      <c r="ABC484" s="220"/>
      <c r="ABD484" s="220"/>
      <c r="ABE484" s="220"/>
      <c r="ABF484" s="220"/>
      <c r="ABG484" s="220"/>
    </row>
    <row r="485" spans="1:735" s="246" customFormat="1" ht="24.75" x14ac:dyDescent="0.2">
      <c r="A485" s="180">
        <v>6223</v>
      </c>
      <c r="B485" s="135" t="s">
        <v>330</v>
      </c>
      <c r="C485" s="136">
        <v>515000</v>
      </c>
      <c r="D485" s="136">
        <f>515000-125000</f>
        <v>390000</v>
      </c>
      <c r="E485" s="121">
        <v>109313.05</v>
      </c>
      <c r="F485" s="130"/>
      <c r="G485" s="120">
        <f t="shared" si="148"/>
        <v>21.22583495145631</v>
      </c>
      <c r="H485" s="120">
        <f>E485/D485*100</f>
        <v>28.028987179487181</v>
      </c>
      <c r="I485" s="120">
        <f>E485/J485*100</f>
        <v>40.946038739542971</v>
      </c>
      <c r="J485" s="129">
        <v>266968.56</v>
      </c>
      <c r="K485" s="220"/>
      <c r="L485" s="220"/>
      <c r="M485" s="220"/>
      <c r="N485" s="220"/>
      <c r="O485" s="220"/>
      <c r="P485" s="220"/>
      <c r="Q485" s="220"/>
      <c r="R485" s="220"/>
      <c r="S485" s="220"/>
      <c r="T485" s="220"/>
      <c r="U485" s="220"/>
      <c r="V485" s="220"/>
      <c r="W485" s="220"/>
      <c r="X485" s="220"/>
      <c r="Y485" s="220"/>
      <c r="Z485" s="220"/>
      <c r="AA485" s="220"/>
      <c r="AB485" s="220"/>
      <c r="AC485" s="220"/>
      <c r="AD485" s="220"/>
      <c r="AE485" s="220"/>
      <c r="AF485" s="220"/>
      <c r="AG485" s="220"/>
      <c r="AH485" s="220"/>
      <c r="AI485" s="220"/>
      <c r="AJ485" s="220"/>
      <c r="AK485" s="220"/>
      <c r="AL485" s="220"/>
      <c r="AM485" s="220"/>
      <c r="AN485" s="220"/>
      <c r="AO485" s="220"/>
      <c r="AP485" s="220"/>
      <c r="AQ485" s="220"/>
      <c r="AR485" s="220"/>
      <c r="AS485" s="220"/>
      <c r="AT485" s="220"/>
      <c r="AU485" s="220"/>
      <c r="AV485" s="220"/>
      <c r="AW485" s="220"/>
      <c r="AX485" s="220"/>
      <c r="AY485" s="220"/>
      <c r="AZ485" s="220"/>
      <c r="BA485" s="220"/>
      <c r="BB485" s="220"/>
      <c r="BC485" s="220"/>
      <c r="BD485" s="220"/>
      <c r="BE485" s="220"/>
      <c r="BF485" s="220"/>
      <c r="BG485" s="220"/>
      <c r="BH485" s="220"/>
      <c r="BI485" s="220"/>
      <c r="BJ485" s="220"/>
      <c r="BK485" s="220"/>
      <c r="BL485" s="220"/>
      <c r="BM485" s="220"/>
      <c r="BN485" s="220"/>
      <c r="BO485" s="220"/>
      <c r="BP485" s="220"/>
      <c r="BQ485" s="220"/>
      <c r="BR485" s="220"/>
      <c r="BS485" s="220"/>
      <c r="BT485" s="220"/>
      <c r="BU485" s="220"/>
      <c r="BV485" s="220"/>
      <c r="BW485" s="220"/>
      <c r="BX485" s="220"/>
      <c r="BY485" s="220"/>
      <c r="BZ485" s="220"/>
      <c r="CA485" s="220"/>
      <c r="CB485" s="220"/>
      <c r="CC485" s="220"/>
      <c r="CD485" s="220"/>
      <c r="CE485" s="220"/>
      <c r="CF485" s="220"/>
      <c r="CG485" s="220"/>
      <c r="CH485" s="220"/>
      <c r="CI485" s="220"/>
      <c r="CJ485" s="220"/>
      <c r="CK485" s="220"/>
      <c r="CL485" s="220"/>
      <c r="CM485" s="220"/>
      <c r="CN485" s="220"/>
      <c r="CO485" s="220"/>
      <c r="CP485" s="220"/>
      <c r="CQ485" s="220"/>
      <c r="CR485" s="220"/>
      <c r="CS485" s="220"/>
      <c r="CT485" s="220"/>
      <c r="CU485" s="220"/>
      <c r="CV485" s="220"/>
      <c r="CW485" s="220"/>
      <c r="CX485" s="220"/>
      <c r="CY485" s="220"/>
      <c r="CZ485" s="220"/>
      <c r="DA485" s="220"/>
      <c r="DB485" s="220"/>
      <c r="DC485" s="220"/>
      <c r="DD485" s="220"/>
      <c r="DE485" s="220"/>
      <c r="DF485" s="220"/>
      <c r="DG485" s="220"/>
      <c r="DH485" s="220"/>
      <c r="DI485" s="220"/>
      <c r="DJ485" s="220"/>
      <c r="DK485" s="220"/>
      <c r="DL485" s="220"/>
      <c r="DM485" s="220"/>
      <c r="DN485" s="220"/>
      <c r="DO485" s="220"/>
      <c r="DP485" s="220"/>
      <c r="DQ485" s="220"/>
      <c r="DR485" s="220"/>
      <c r="DS485" s="220"/>
      <c r="DT485" s="220"/>
      <c r="DU485" s="220"/>
      <c r="DV485" s="220"/>
      <c r="DW485" s="220"/>
      <c r="DX485" s="220"/>
      <c r="DY485" s="220"/>
      <c r="DZ485" s="220"/>
      <c r="EA485" s="220"/>
      <c r="EB485" s="220"/>
      <c r="EC485" s="220"/>
      <c r="ED485" s="220"/>
      <c r="EE485" s="220"/>
      <c r="EF485" s="220"/>
      <c r="EG485" s="220"/>
      <c r="EH485" s="220"/>
      <c r="EI485" s="220"/>
      <c r="EJ485" s="220"/>
      <c r="EK485" s="220"/>
      <c r="EL485" s="220"/>
      <c r="EM485" s="220"/>
      <c r="EN485" s="220"/>
      <c r="EO485" s="220"/>
      <c r="EP485" s="220"/>
      <c r="EQ485" s="220"/>
      <c r="ER485" s="220"/>
      <c r="ES485" s="220"/>
      <c r="ET485" s="220"/>
      <c r="EU485" s="220"/>
      <c r="EV485" s="220"/>
      <c r="EW485" s="220"/>
      <c r="EX485" s="220"/>
      <c r="EY485" s="220"/>
      <c r="EZ485" s="220"/>
      <c r="FA485" s="220"/>
      <c r="FB485" s="220"/>
      <c r="FC485" s="220"/>
      <c r="FD485" s="220"/>
      <c r="FE485" s="220"/>
      <c r="FF485" s="220"/>
      <c r="FG485" s="220"/>
      <c r="FH485" s="220"/>
      <c r="FI485" s="220"/>
      <c r="FJ485" s="220"/>
      <c r="FK485" s="220"/>
      <c r="FL485" s="220"/>
      <c r="FM485" s="220"/>
      <c r="FN485" s="220"/>
      <c r="FO485" s="220"/>
      <c r="FP485" s="220"/>
      <c r="FQ485" s="220"/>
      <c r="FR485" s="220"/>
      <c r="FS485" s="220"/>
      <c r="FT485" s="220"/>
      <c r="FU485" s="220"/>
      <c r="FV485" s="220"/>
      <c r="FW485" s="220"/>
      <c r="FX485" s="220"/>
      <c r="FY485" s="220"/>
      <c r="FZ485" s="220"/>
      <c r="GA485" s="220"/>
      <c r="GB485" s="220"/>
      <c r="GC485" s="220"/>
      <c r="GD485" s="220"/>
      <c r="GE485" s="220"/>
      <c r="GF485" s="220"/>
      <c r="GG485" s="220"/>
      <c r="GH485" s="220"/>
      <c r="GI485" s="220"/>
      <c r="GJ485" s="220"/>
      <c r="GK485" s="220"/>
      <c r="GL485" s="220"/>
      <c r="GM485" s="220"/>
      <c r="GN485" s="220"/>
      <c r="GO485" s="220"/>
      <c r="GP485" s="220"/>
      <c r="GQ485" s="220"/>
      <c r="GR485" s="220"/>
      <c r="GS485" s="220"/>
      <c r="GT485" s="220"/>
      <c r="GU485" s="220"/>
      <c r="GV485" s="220"/>
      <c r="GW485" s="220"/>
      <c r="GX485" s="220"/>
      <c r="GY485" s="220"/>
      <c r="GZ485" s="220"/>
      <c r="HA485" s="220"/>
      <c r="HB485" s="220"/>
      <c r="HC485" s="220"/>
      <c r="HD485" s="220"/>
      <c r="HE485" s="220"/>
      <c r="HF485" s="220"/>
      <c r="HG485" s="220"/>
      <c r="HH485" s="220"/>
      <c r="HI485" s="220"/>
      <c r="HJ485" s="220"/>
      <c r="HK485" s="220"/>
      <c r="HL485" s="220"/>
      <c r="HM485" s="220"/>
      <c r="HN485" s="220"/>
      <c r="HO485" s="220"/>
      <c r="HP485" s="220"/>
      <c r="HQ485" s="220"/>
      <c r="HR485" s="220"/>
      <c r="HS485" s="220"/>
      <c r="HT485" s="220"/>
      <c r="HU485" s="220"/>
      <c r="HV485" s="220"/>
      <c r="HW485" s="220"/>
      <c r="HX485" s="220"/>
      <c r="HY485" s="220"/>
      <c r="HZ485" s="220"/>
      <c r="IA485" s="220"/>
      <c r="IB485" s="220"/>
      <c r="IC485" s="220"/>
      <c r="ID485" s="220"/>
      <c r="IE485" s="220"/>
      <c r="IF485" s="220"/>
      <c r="IG485" s="220"/>
      <c r="IH485" s="220"/>
      <c r="II485" s="220"/>
      <c r="IJ485" s="220"/>
      <c r="IK485" s="220"/>
      <c r="IL485" s="220"/>
      <c r="IM485" s="220"/>
      <c r="IN485" s="220"/>
      <c r="IO485" s="220"/>
      <c r="IP485" s="220"/>
      <c r="IQ485" s="220"/>
      <c r="IR485" s="220"/>
      <c r="IS485" s="220"/>
      <c r="IT485" s="220"/>
      <c r="IU485" s="220"/>
      <c r="IV485" s="220"/>
      <c r="IW485" s="220"/>
      <c r="IX485" s="220"/>
      <c r="IY485" s="220"/>
      <c r="IZ485" s="220"/>
      <c r="JA485" s="220"/>
      <c r="JB485" s="220"/>
      <c r="JC485" s="220"/>
      <c r="JD485" s="220"/>
      <c r="JE485" s="220"/>
      <c r="JF485" s="220"/>
      <c r="JG485" s="220"/>
      <c r="JH485" s="220"/>
      <c r="JI485" s="220"/>
      <c r="JJ485" s="220"/>
      <c r="JK485" s="220"/>
      <c r="JL485" s="220"/>
      <c r="JM485" s="220"/>
      <c r="JN485" s="220"/>
      <c r="JO485" s="220"/>
      <c r="JP485" s="220"/>
      <c r="JQ485" s="220"/>
      <c r="JR485" s="220"/>
      <c r="JS485" s="220"/>
      <c r="JT485" s="220"/>
      <c r="JU485" s="220"/>
      <c r="JV485" s="220"/>
      <c r="JW485" s="220"/>
      <c r="JX485" s="220"/>
      <c r="JY485" s="220"/>
      <c r="JZ485" s="220"/>
      <c r="KA485" s="220"/>
      <c r="KB485" s="220"/>
      <c r="KC485" s="220"/>
      <c r="KD485" s="220"/>
      <c r="KE485" s="220"/>
      <c r="KF485" s="220"/>
      <c r="KG485" s="220"/>
      <c r="KH485" s="220"/>
      <c r="KI485" s="220"/>
      <c r="KJ485" s="220"/>
      <c r="KK485" s="220"/>
      <c r="KL485" s="220"/>
      <c r="KM485" s="220"/>
      <c r="KN485" s="220"/>
      <c r="KO485" s="220"/>
      <c r="KP485" s="220"/>
      <c r="KQ485" s="220"/>
      <c r="KR485" s="220"/>
      <c r="KS485" s="220"/>
      <c r="KT485" s="220"/>
      <c r="KU485" s="220"/>
      <c r="KV485" s="220"/>
      <c r="KW485" s="220"/>
      <c r="KX485" s="220"/>
      <c r="KY485" s="220"/>
      <c r="KZ485" s="220"/>
      <c r="LA485" s="220"/>
      <c r="LB485" s="220"/>
      <c r="LC485" s="220"/>
      <c r="LD485" s="220"/>
      <c r="LE485" s="220"/>
      <c r="LF485" s="220"/>
      <c r="LG485" s="220"/>
      <c r="LH485" s="220"/>
      <c r="LI485" s="220"/>
      <c r="LJ485" s="220"/>
      <c r="LK485" s="220"/>
      <c r="LL485" s="220"/>
      <c r="LM485" s="220"/>
      <c r="LN485" s="220"/>
      <c r="LO485" s="220"/>
      <c r="LP485" s="220"/>
      <c r="LQ485" s="220"/>
      <c r="LR485" s="220"/>
      <c r="LS485" s="220"/>
      <c r="LT485" s="220"/>
      <c r="LU485" s="220"/>
      <c r="LV485" s="220"/>
      <c r="LW485" s="220"/>
      <c r="LX485" s="220"/>
      <c r="LY485" s="220"/>
      <c r="LZ485" s="220"/>
      <c r="MA485" s="220"/>
      <c r="MB485" s="220"/>
      <c r="MC485" s="220"/>
      <c r="MD485" s="220"/>
      <c r="ME485" s="220"/>
      <c r="MF485" s="220"/>
      <c r="MG485" s="220"/>
      <c r="MH485" s="220"/>
      <c r="MI485" s="220"/>
      <c r="MJ485" s="220"/>
      <c r="MK485" s="220"/>
      <c r="ML485" s="220"/>
      <c r="MM485" s="220"/>
      <c r="MN485" s="220"/>
      <c r="MO485" s="220"/>
      <c r="MP485" s="220"/>
      <c r="MQ485" s="220"/>
      <c r="MR485" s="220"/>
      <c r="MS485" s="220"/>
      <c r="MT485" s="220"/>
      <c r="MU485" s="220"/>
      <c r="MV485" s="220"/>
      <c r="MW485" s="220"/>
      <c r="MX485" s="220"/>
      <c r="MY485" s="220"/>
      <c r="MZ485" s="220"/>
      <c r="NA485" s="220"/>
      <c r="NB485" s="220"/>
      <c r="NC485" s="220"/>
      <c r="ND485" s="220"/>
      <c r="NE485" s="220"/>
      <c r="NF485" s="220"/>
      <c r="NG485" s="220"/>
      <c r="NH485" s="220"/>
      <c r="NI485" s="220"/>
      <c r="NJ485" s="220"/>
      <c r="NK485" s="220"/>
      <c r="NL485" s="220"/>
      <c r="NM485" s="220"/>
      <c r="NN485" s="220"/>
      <c r="NO485" s="220"/>
      <c r="NP485" s="220"/>
      <c r="NQ485" s="220"/>
      <c r="NR485" s="220"/>
      <c r="NS485" s="220"/>
      <c r="NT485" s="220"/>
      <c r="NU485" s="220"/>
      <c r="NV485" s="220"/>
      <c r="NW485" s="220"/>
      <c r="NX485" s="220"/>
      <c r="NY485" s="220"/>
      <c r="NZ485" s="220"/>
      <c r="OA485" s="220"/>
      <c r="OB485" s="220"/>
      <c r="OC485" s="220"/>
      <c r="OD485" s="220"/>
      <c r="OE485" s="220"/>
      <c r="OF485" s="220"/>
      <c r="OG485" s="220"/>
      <c r="OH485" s="220"/>
      <c r="OI485" s="220"/>
      <c r="OJ485" s="220"/>
      <c r="OK485" s="220"/>
      <c r="OL485" s="220"/>
      <c r="OM485" s="220"/>
      <c r="ON485" s="220"/>
      <c r="OO485" s="220"/>
      <c r="OP485" s="220"/>
      <c r="OQ485" s="220"/>
      <c r="OR485" s="220"/>
      <c r="OS485" s="220"/>
      <c r="OT485" s="220"/>
      <c r="OU485" s="220"/>
      <c r="OV485" s="220"/>
      <c r="OW485" s="220"/>
      <c r="OX485" s="220"/>
      <c r="OY485" s="220"/>
      <c r="OZ485" s="220"/>
      <c r="PA485" s="220"/>
      <c r="PB485" s="220"/>
      <c r="PC485" s="220"/>
      <c r="PD485" s="220"/>
      <c r="PE485" s="220"/>
      <c r="PF485" s="220"/>
      <c r="PG485" s="220"/>
      <c r="PH485" s="220"/>
      <c r="PI485" s="220"/>
      <c r="PJ485" s="220"/>
      <c r="PK485" s="220"/>
      <c r="PL485" s="220"/>
      <c r="PM485" s="220"/>
      <c r="PN485" s="220"/>
      <c r="PO485" s="220"/>
      <c r="PP485" s="220"/>
      <c r="PQ485" s="220"/>
      <c r="PR485" s="220"/>
      <c r="PS485" s="220"/>
      <c r="PT485" s="220"/>
      <c r="PU485" s="220"/>
      <c r="PV485" s="220"/>
      <c r="PW485" s="220"/>
      <c r="PX485" s="220"/>
      <c r="PY485" s="220"/>
      <c r="PZ485" s="220"/>
      <c r="QA485" s="220"/>
      <c r="QB485" s="220"/>
      <c r="QC485" s="220"/>
      <c r="QD485" s="220"/>
      <c r="QE485" s="220"/>
      <c r="QF485" s="220"/>
      <c r="QG485" s="220"/>
      <c r="QH485" s="220"/>
      <c r="QI485" s="220"/>
      <c r="QJ485" s="220"/>
      <c r="QK485" s="220"/>
      <c r="QL485" s="220"/>
      <c r="QM485" s="220"/>
      <c r="QN485" s="220"/>
      <c r="QO485" s="220"/>
      <c r="QP485" s="220"/>
      <c r="QQ485" s="220"/>
      <c r="QR485" s="220"/>
      <c r="QS485" s="220"/>
      <c r="QT485" s="220"/>
      <c r="QU485" s="220"/>
      <c r="QV485" s="220"/>
      <c r="QW485" s="220"/>
      <c r="QX485" s="220"/>
      <c r="QY485" s="220"/>
      <c r="QZ485" s="220"/>
      <c r="RA485" s="220"/>
      <c r="RB485" s="220"/>
      <c r="RC485" s="220"/>
      <c r="RD485" s="220"/>
      <c r="RE485" s="220"/>
      <c r="RF485" s="220"/>
      <c r="RG485" s="220"/>
      <c r="RH485" s="220"/>
      <c r="RI485" s="220"/>
      <c r="RJ485" s="220"/>
      <c r="RK485" s="220"/>
      <c r="RL485" s="220"/>
      <c r="RM485" s="220"/>
      <c r="RN485" s="220"/>
      <c r="RO485" s="220"/>
      <c r="RP485" s="220"/>
      <c r="RQ485" s="220"/>
      <c r="RR485" s="220"/>
      <c r="RS485" s="220"/>
      <c r="RT485" s="220"/>
      <c r="RU485" s="220"/>
      <c r="RV485" s="220"/>
      <c r="RW485" s="220"/>
      <c r="RX485" s="220"/>
      <c r="RY485" s="220"/>
      <c r="RZ485" s="220"/>
      <c r="SA485" s="220"/>
      <c r="SB485" s="220"/>
      <c r="SC485" s="220"/>
      <c r="SD485" s="220"/>
      <c r="SE485" s="220"/>
      <c r="SF485" s="220"/>
      <c r="SG485" s="220"/>
      <c r="SH485" s="220"/>
      <c r="SI485" s="220"/>
      <c r="SJ485" s="220"/>
      <c r="SK485" s="220"/>
      <c r="SL485" s="220"/>
      <c r="SM485" s="220"/>
      <c r="SN485" s="220"/>
      <c r="SO485" s="220"/>
      <c r="SP485" s="220"/>
      <c r="SQ485" s="220"/>
      <c r="SR485" s="220"/>
      <c r="SS485" s="220"/>
      <c r="ST485" s="220"/>
      <c r="SU485" s="220"/>
      <c r="SV485" s="220"/>
      <c r="SW485" s="220"/>
      <c r="SX485" s="220"/>
      <c r="SY485" s="220"/>
      <c r="SZ485" s="220"/>
      <c r="TA485" s="220"/>
      <c r="TB485" s="220"/>
      <c r="TC485" s="220"/>
      <c r="TD485" s="220"/>
      <c r="TE485" s="220"/>
      <c r="TF485" s="220"/>
      <c r="TG485" s="220"/>
      <c r="TH485" s="220"/>
      <c r="TI485" s="220"/>
      <c r="TJ485" s="220"/>
      <c r="TK485" s="220"/>
      <c r="TL485" s="220"/>
      <c r="TM485" s="220"/>
      <c r="TN485" s="220"/>
      <c r="TO485" s="220"/>
      <c r="TP485" s="220"/>
      <c r="TQ485" s="220"/>
      <c r="TR485" s="220"/>
      <c r="TS485" s="220"/>
      <c r="TT485" s="220"/>
      <c r="TU485" s="220"/>
      <c r="TV485" s="220"/>
      <c r="TW485" s="220"/>
      <c r="TX485" s="220"/>
      <c r="TY485" s="220"/>
      <c r="TZ485" s="220"/>
      <c r="UA485" s="220"/>
      <c r="UB485" s="220"/>
      <c r="UC485" s="220"/>
      <c r="UD485" s="220"/>
      <c r="UE485" s="220"/>
      <c r="UF485" s="220"/>
      <c r="UG485" s="220"/>
      <c r="UH485" s="220"/>
      <c r="UI485" s="220"/>
      <c r="UJ485" s="220"/>
      <c r="UK485" s="220"/>
      <c r="UL485" s="220"/>
      <c r="UM485" s="220"/>
      <c r="UN485" s="220"/>
      <c r="UO485" s="220"/>
      <c r="UP485" s="220"/>
      <c r="UQ485" s="220"/>
      <c r="UR485" s="220"/>
      <c r="US485" s="220"/>
      <c r="UT485" s="220"/>
      <c r="UU485" s="220"/>
      <c r="UV485" s="220"/>
      <c r="UW485" s="220"/>
      <c r="UX485" s="220"/>
      <c r="UY485" s="220"/>
      <c r="UZ485" s="220"/>
      <c r="VA485" s="220"/>
      <c r="VB485" s="220"/>
      <c r="VC485" s="220"/>
      <c r="VD485" s="220"/>
      <c r="VE485" s="220"/>
      <c r="VF485" s="220"/>
      <c r="VG485" s="220"/>
      <c r="VH485" s="220"/>
      <c r="VI485" s="220"/>
      <c r="VJ485" s="220"/>
      <c r="VK485" s="220"/>
      <c r="VL485" s="220"/>
      <c r="VM485" s="220"/>
      <c r="VN485" s="220"/>
      <c r="VO485" s="220"/>
      <c r="VP485" s="220"/>
      <c r="VQ485" s="220"/>
      <c r="VR485" s="220"/>
      <c r="VS485" s="220"/>
      <c r="VT485" s="220"/>
      <c r="VU485" s="220"/>
      <c r="VV485" s="220"/>
      <c r="VW485" s="220"/>
      <c r="VX485" s="220"/>
      <c r="VY485" s="220"/>
      <c r="VZ485" s="220"/>
      <c r="WA485" s="220"/>
      <c r="WB485" s="220"/>
      <c r="WC485" s="220"/>
      <c r="WD485" s="220"/>
      <c r="WE485" s="220"/>
      <c r="WF485" s="220"/>
      <c r="WG485" s="220"/>
      <c r="WH485" s="220"/>
      <c r="WI485" s="220"/>
      <c r="WJ485" s="220"/>
      <c r="WK485" s="220"/>
      <c r="WL485" s="220"/>
      <c r="WM485" s="220"/>
      <c r="WN485" s="220"/>
      <c r="WO485" s="220"/>
      <c r="WP485" s="220"/>
      <c r="WQ485" s="220"/>
      <c r="WR485" s="220"/>
      <c r="WS485" s="220"/>
      <c r="WT485" s="220"/>
      <c r="WU485" s="220"/>
      <c r="WV485" s="220"/>
      <c r="WW485" s="220"/>
      <c r="WX485" s="220"/>
      <c r="WY485" s="220"/>
      <c r="WZ485" s="220"/>
      <c r="XA485" s="220"/>
      <c r="XB485" s="220"/>
      <c r="XC485" s="220"/>
      <c r="XD485" s="220"/>
      <c r="XE485" s="220"/>
      <c r="XF485" s="220"/>
      <c r="XG485" s="220"/>
      <c r="XH485" s="220"/>
      <c r="XI485" s="220"/>
      <c r="XJ485" s="220"/>
      <c r="XK485" s="220"/>
      <c r="XL485" s="220"/>
      <c r="XM485" s="220"/>
      <c r="XN485" s="220"/>
      <c r="XO485" s="220"/>
      <c r="XP485" s="220"/>
      <c r="XQ485" s="220"/>
      <c r="XR485" s="220"/>
      <c r="XS485" s="220"/>
      <c r="XT485" s="220"/>
      <c r="XU485" s="220"/>
      <c r="XV485" s="220"/>
      <c r="XW485" s="220"/>
      <c r="XX485" s="220"/>
      <c r="XY485" s="220"/>
      <c r="XZ485" s="220"/>
      <c r="YA485" s="220"/>
      <c r="YB485" s="220"/>
      <c r="YC485" s="220"/>
      <c r="YD485" s="220"/>
      <c r="YE485" s="220"/>
      <c r="YF485" s="220"/>
      <c r="YG485" s="220"/>
      <c r="YH485" s="220"/>
      <c r="YI485" s="220"/>
      <c r="YJ485" s="220"/>
      <c r="YK485" s="220"/>
      <c r="YL485" s="220"/>
      <c r="YM485" s="220"/>
      <c r="YN485" s="220"/>
      <c r="YO485" s="220"/>
      <c r="YP485" s="220"/>
      <c r="YQ485" s="220"/>
      <c r="YR485" s="220"/>
      <c r="YS485" s="220"/>
      <c r="YT485" s="220"/>
      <c r="YU485" s="220"/>
      <c r="YV485" s="220"/>
      <c r="YW485" s="220"/>
      <c r="YX485" s="220"/>
      <c r="YY485" s="220"/>
      <c r="YZ485" s="220"/>
      <c r="ZA485" s="220"/>
      <c r="ZB485" s="220"/>
      <c r="ZC485" s="220"/>
      <c r="ZD485" s="220"/>
      <c r="ZE485" s="220"/>
      <c r="ZF485" s="220"/>
      <c r="ZG485" s="220"/>
      <c r="ZH485" s="220"/>
      <c r="ZI485" s="220"/>
      <c r="ZJ485" s="220"/>
      <c r="ZK485" s="220"/>
      <c r="ZL485" s="220"/>
      <c r="ZM485" s="220"/>
      <c r="ZN485" s="220"/>
      <c r="ZO485" s="220"/>
      <c r="ZP485" s="220"/>
      <c r="ZQ485" s="220"/>
      <c r="ZR485" s="220"/>
      <c r="ZS485" s="220"/>
      <c r="ZT485" s="220"/>
      <c r="ZU485" s="220"/>
      <c r="ZV485" s="220"/>
      <c r="ZW485" s="220"/>
      <c r="ZX485" s="220"/>
      <c r="ZY485" s="220"/>
      <c r="ZZ485" s="220"/>
      <c r="AAA485" s="220"/>
      <c r="AAB485" s="220"/>
      <c r="AAC485" s="220"/>
      <c r="AAD485" s="220"/>
      <c r="AAE485" s="220"/>
      <c r="AAF485" s="220"/>
      <c r="AAG485" s="220"/>
      <c r="AAH485" s="220"/>
      <c r="AAI485" s="220"/>
      <c r="AAJ485" s="220"/>
      <c r="AAK485" s="220"/>
      <c r="AAL485" s="220"/>
      <c r="AAM485" s="220"/>
      <c r="AAN485" s="220"/>
      <c r="AAO485" s="220"/>
      <c r="AAP485" s="220"/>
      <c r="AAQ485" s="220"/>
      <c r="AAR485" s="220"/>
      <c r="AAS485" s="220"/>
      <c r="AAT485" s="220"/>
      <c r="AAU485" s="220"/>
      <c r="AAV485" s="220"/>
      <c r="AAW485" s="220"/>
      <c r="AAX485" s="220"/>
      <c r="AAY485" s="220"/>
      <c r="AAZ485" s="220"/>
      <c r="ABA485" s="220"/>
      <c r="ABB485" s="220"/>
      <c r="ABC485" s="220"/>
      <c r="ABD485" s="220"/>
      <c r="ABE485" s="220"/>
      <c r="ABF485" s="220"/>
      <c r="ABG485" s="220"/>
    </row>
    <row r="486" spans="1:735" s="220" customFormat="1" ht="13.5" thickBot="1" x14ac:dyDescent="0.25">
      <c r="A486" s="245"/>
      <c r="B486" s="168"/>
      <c r="C486" s="117"/>
      <c r="D486" s="117"/>
      <c r="E486" s="117"/>
      <c r="F486" s="117"/>
      <c r="G486" s="151"/>
      <c r="H486" s="151"/>
      <c r="I486" s="151"/>
      <c r="J486" s="129"/>
    </row>
    <row r="487" spans="1:735" s="3" customFormat="1" ht="21" thickBot="1" x14ac:dyDescent="0.25">
      <c r="A487" s="244"/>
      <c r="B487" s="243" t="s">
        <v>329</v>
      </c>
      <c r="C487" s="242">
        <f>SUM(C488,C490)</f>
        <v>7038417</v>
      </c>
      <c r="D487" s="242">
        <f>SUM(D488,D490)</f>
        <v>6727658</v>
      </c>
      <c r="E487" s="181">
        <v>6675428</v>
      </c>
      <c r="F487" s="317">
        <f>SUM(E488,E490)</f>
        <v>6675428</v>
      </c>
      <c r="G487" s="571">
        <f>E487/C487*100</f>
        <v>94.842746600549532</v>
      </c>
      <c r="H487" s="181">
        <f>E487/D487*100</f>
        <v>99.223652569735265</v>
      </c>
      <c r="I487" s="181">
        <f>E487/J487*100</f>
        <v>106.31067481848714</v>
      </c>
      <c r="J487" s="129">
        <v>6279170</v>
      </c>
      <c r="K487" s="220"/>
      <c r="L487" s="220"/>
      <c r="M487" s="220"/>
      <c r="N487" s="220"/>
      <c r="O487" s="220"/>
      <c r="P487" s="220"/>
      <c r="Q487" s="220"/>
      <c r="R487" s="220"/>
      <c r="S487" s="220"/>
      <c r="T487" s="220"/>
      <c r="U487" s="220"/>
      <c r="V487" s="220"/>
      <c r="W487" s="220"/>
      <c r="X487" s="220"/>
      <c r="Y487" s="220"/>
      <c r="Z487" s="220"/>
      <c r="AA487" s="220"/>
      <c r="AB487" s="220"/>
      <c r="AC487" s="220"/>
      <c r="AD487" s="220"/>
      <c r="AE487" s="220"/>
      <c r="AF487" s="220"/>
      <c r="AG487" s="220"/>
      <c r="AH487" s="220"/>
      <c r="AI487" s="220"/>
      <c r="AJ487" s="220"/>
      <c r="AK487" s="220"/>
      <c r="AL487" s="220"/>
      <c r="AM487" s="220"/>
      <c r="AN487" s="220"/>
      <c r="AO487" s="220"/>
      <c r="AP487" s="220"/>
      <c r="AQ487" s="220"/>
      <c r="AR487" s="220"/>
      <c r="AS487" s="220"/>
      <c r="AT487" s="220"/>
      <c r="AU487" s="220"/>
      <c r="AV487" s="220"/>
      <c r="AW487" s="220"/>
      <c r="AX487" s="220"/>
      <c r="AY487" s="220"/>
      <c r="AZ487" s="220"/>
      <c r="BA487" s="220"/>
      <c r="BB487" s="220"/>
      <c r="BC487" s="220"/>
      <c r="BD487" s="220"/>
      <c r="BE487" s="220"/>
      <c r="BF487" s="220"/>
      <c r="BG487" s="220"/>
      <c r="BH487" s="220"/>
      <c r="BI487" s="220"/>
      <c r="BJ487" s="220"/>
      <c r="BK487" s="220"/>
      <c r="BL487" s="220"/>
      <c r="BM487" s="220"/>
      <c r="BN487" s="220"/>
      <c r="BO487" s="220"/>
      <c r="BP487" s="220"/>
      <c r="BQ487" s="220"/>
      <c r="BR487" s="220"/>
      <c r="BS487" s="220"/>
      <c r="BT487" s="220"/>
      <c r="BU487" s="220"/>
      <c r="BV487" s="220"/>
      <c r="BW487" s="220"/>
      <c r="BX487" s="220"/>
      <c r="BY487" s="220"/>
      <c r="BZ487" s="220"/>
      <c r="CA487" s="220"/>
      <c r="CB487" s="220"/>
      <c r="CC487" s="220"/>
      <c r="CD487" s="220"/>
      <c r="CE487" s="220"/>
      <c r="CF487" s="220"/>
      <c r="CG487" s="220"/>
      <c r="CH487" s="220"/>
      <c r="CI487" s="220"/>
      <c r="CJ487" s="220"/>
      <c r="CK487" s="220"/>
      <c r="CL487" s="220"/>
      <c r="CM487" s="220"/>
      <c r="CN487" s="220"/>
      <c r="CO487" s="220"/>
      <c r="CP487" s="220"/>
      <c r="CQ487" s="220"/>
      <c r="CR487" s="220"/>
      <c r="CS487" s="220"/>
      <c r="CT487" s="220"/>
      <c r="CU487" s="220"/>
      <c r="CV487" s="220"/>
      <c r="CW487" s="220"/>
      <c r="CX487" s="220"/>
      <c r="CY487" s="220"/>
      <c r="CZ487" s="220"/>
      <c r="DA487" s="220"/>
      <c r="DB487" s="220"/>
      <c r="DC487" s="220"/>
      <c r="DD487" s="220"/>
      <c r="DE487" s="220"/>
      <c r="DF487" s="220"/>
      <c r="DG487" s="220"/>
      <c r="DH487" s="220"/>
      <c r="DI487" s="220"/>
      <c r="DJ487" s="220"/>
      <c r="DK487" s="220"/>
      <c r="DL487" s="220"/>
      <c r="DM487" s="220"/>
      <c r="DN487" s="220"/>
      <c r="DO487" s="220"/>
      <c r="DP487" s="220"/>
      <c r="DQ487" s="220"/>
      <c r="DR487" s="220"/>
      <c r="DS487" s="220"/>
      <c r="DT487" s="220"/>
      <c r="DU487" s="220"/>
      <c r="DV487" s="220"/>
      <c r="DW487" s="220"/>
      <c r="DX487" s="220"/>
      <c r="DY487" s="220"/>
      <c r="DZ487" s="220"/>
      <c r="EA487" s="220"/>
      <c r="EB487" s="220"/>
      <c r="EC487" s="220"/>
      <c r="ED487" s="220"/>
      <c r="EE487" s="220"/>
      <c r="EF487" s="220"/>
      <c r="EG487" s="220"/>
      <c r="EH487" s="220"/>
      <c r="EI487" s="220"/>
      <c r="EJ487" s="220"/>
      <c r="EK487" s="220"/>
      <c r="EL487" s="220"/>
      <c r="EM487" s="220"/>
      <c r="EN487" s="220"/>
      <c r="EO487" s="220"/>
      <c r="EP487" s="220"/>
      <c r="EQ487" s="220"/>
      <c r="ER487" s="220"/>
      <c r="ES487" s="220"/>
      <c r="ET487" s="220"/>
      <c r="EU487" s="220"/>
      <c r="EV487" s="220"/>
      <c r="EW487" s="220"/>
      <c r="EX487" s="220"/>
      <c r="EY487" s="220"/>
      <c r="EZ487" s="220"/>
      <c r="FA487" s="220"/>
      <c r="FB487" s="220"/>
      <c r="FC487" s="220"/>
      <c r="FD487" s="220"/>
      <c r="FE487" s="220"/>
      <c r="FF487" s="220"/>
      <c r="FG487" s="220"/>
      <c r="FH487" s="220"/>
      <c r="FI487" s="220"/>
      <c r="FJ487" s="220"/>
      <c r="FK487" s="220"/>
      <c r="FL487" s="220"/>
      <c r="FM487" s="220"/>
      <c r="FN487" s="220"/>
      <c r="FO487" s="220"/>
      <c r="FP487" s="220"/>
      <c r="FQ487" s="220"/>
      <c r="FR487" s="220"/>
      <c r="FS487" s="220"/>
      <c r="FT487" s="220"/>
      <c r="FU487" s="220"/>
      <c r="FV487" s="220"/>
      <c r="FW487" s="220"/>
      <c r="FX487" s="220"/>
      <c r="FY487" s="220"/>
      <c r="FZ487" s="220"/>
      <c r="GA487" s="220"/>
      <c r="GB487" s="220"/>
      <c r="GC487" s="220"/>
      <c r="GD487" s="220"/>
      <c r="GE487" s="220"/>
      <c r="GF487" s="220"/>
      <c r="GG487" s="220"/>
      <c r="GH487" s="220"/>
      <c r="GI487" s="220"/>
      <c r="GJ487" s="220"/>
      <c r="GK487" s="220"/>
      <c r="GL487" s="220"/>
      <c r="GM487" s="220"/>
      <c r="GN487" s="220"/>
      <c r="GO487" s="220"/>
      <c r="GP487" s="220"/>
      <c r="GQ487" s="220"/>
      <c r="GR487" s="220"/>
      <c r="GS487" s="220"/>
      <c r="GT487" s="220"/>
      <c r="GU487" s="220"/>
      <c r="GV487" s="220"/>
      <c r="GW487" s="220"/>
      <c r="GX487" s="220"/>
      <c r="GY487" s="220"/>
      <c r="GZ487" s="220"/>
      <c r="HA487" s="220"/>
      <c r="HB487" s="220"/>
      <c r="HC487" s="220"/>
      <c r="HD487" s="220"/>
      <c r="HE487" s="220"/>
      <c r="HF487" s="220"/>
      <c r="HG487" s="220"/>
      <c r="HH487" s="220"/>
      <c r="HI487" s="220"/>
      <c r="HJ487" s="220"/>
      <c r="HK487" s="220"/>
      <c r="HL487" s="220"/>
      <c r="HM487" s="220"/>
      <c r="HN487" s="220"/>
      <c r="HO487" s="220"/>
      <c r="HP487" s="220"/>
      <c r="HQ487" s="220"/>
      <c r="HR487" s="220"/>
      <c r="HS487" s="220"/>
      <c r="HT487" s="220"/>
      <c r="HU487" s="220"/>
      <c r="HV487" s="220"/>
      <c r="HW487" s="220"/>
      <c r="HX487" s="220"/>
      <c r="HY487" s="220"/>
      <c r="HZ487" s="220"/>
      <c r="IA487" s="220"/>
      <c r="IB487" s="220"/>
      <c r="IC487" s="220"/>
      <c r="ID487" s="220"/>
      <c r="IE487" s="220"/>
      <c r="IF487" s="220"/>
      <c r="IG487" s="220"/>
      <c r="IH487" s="220"/>
      <c r="II487" s="220"/>
      <c r="IJ487" s="220"/>
      <c r="IK487" s="220"/>
      <c r="IL487" s="220"/>
      <c r="IM487" s="220"/>
      <c r="IN487" s="220"/>
      <c r="IO487" s="220"/>
      <c r="IP487" s="220"/>
      <c r="IQ487" s="220"/>
      <c r="IR487" s="220"/>
      <c r="IS487" s="220"/>
      <c r="IT487" s="220"/>
      <c r="IU487" s="220"/>
      <c r="IV487" s="220"/>
      <c r="IW487" s="220"/>
      <c r="IX487" s="220"/>
      <c r="IY487" s="220"/>
      <c r="IZ487" s="220"/>
      <c r="JA487" s="220"/>
      <c r="JB487" s="220"/>
      <c r="JC487" s="220"/>
      <c r="JD487" s="220"/>
      <c r="JE487" s="220"/>
      <c r="JF487" s="220"/>
      <c r="JG487" s="220"/>
      <c r="JH487" s="220"/>
      <c r="JI487" s="220"/>
      <c r="JJ487" s="220"/>
      <c r="JK487" s="220"/>
      <c r="JL487" s="220"/>
      <c r="JM487" s="220"/>
      <c r="JN487" s="220"/>
      <c r="JO487" s="220"/>
      <c r="JP487" s="220"/>
      <c r="JQ487" s="220"/>
      <c r="JR487" s="220"/>
      <c r="JS487" s="220"/>
      <c r="JT487" s="220"/>
      <c r="JU487" s="220"/>
      <c r="JV487" s="220"/>
      <c r="JW487" s="220"/>
      <c r="JX487" s="220"/>
      <c r="JY487" s="220"/>
      <c r="JZ487" s="220"/>
      <c r="KA487" s="220"/>
      <c r="KB487" s="220"/>
      <c r="KC487" s="220"/>
      <c r="KD487" s="220"/>
      <c r="KE487" s="220"/>
      <c r="KF487" s="220"/>
      <c r="KG487" s="220"/>
      <c r="KH487" s="220"/>
      <c r="KI487" s="220"/>
      <c r="KJ487" s="220"/>
      <c r="KK487" s="220"/>
      <c r="KL487" s="220"/>
      <c r="KM487" s="220"/>
      <c r="KN487" s="220"/>
      <c r="KO487" s="220"/>
      <c r="KP487" s="220"/>
      <c r="KQ487" s="220"/>
      <c r="KR487" s="220"/>
      <c r="KS487" s="220"/>
      <c r="KT487" s="220"/>
      <c r="KU487" s="220"/>
      <c r="KV487" s="220"/>
      <c r="KW487" s="220"/>
      <c r="KX487" s="220"/>
      <c r="KY487" s="220"/>
      <c r="KZ487" s="220"/>
      <c r="LA487" s="220"/>
      <c r="LB487" s="220"/>
      <c r="LC487" s="220"/>
      <c r="LD487" s="220"/>
      <c r="LE487" s="220"/>
      <c r="LF487" s="220"/>
      <c r="LG487" s="220"/>
      <c r="LH487" s="220"/>
      <c r="LI487" s="220"/>
      <c r="LJ487" s="220"/>
      <c r="LK487" s="220"/>
      <c r="LL487" s="220"/>
      <c r="LM487" s="220"/>
      <c r="LN487" s="220"/>
      <c r="LO487" s="220"/>
      <c r="LP487" s="220"/>
      <c r="LQ487" s="220"/>
      <c r="LR487" s="220"/>
      <c r="LS487" s="220"/>
      <c r="LT487" s="220"/>
      <c r="LU487" s="220"/>
      <c r="LV487" s="220"/>
      <c r="LW487" s="220"/>
      <c r="LX487" s="220"/>
      <c r="LY487" s="220"/>
      <c r="LZ487" s="220"/>
      <c r="MA487" s="220"/>
      <c r="MB487" s="220"/>
      <c r="MC487" s="220"/>
      <c r="MD487" s="220"/>
      <c r="ME487" s="220"/>
      <c r="MF487" s="220"/>
      <c r="MG487" s="220"/>
      <c r="MH487" s="220"/>
      <c r="MI487" s="220"/>
      <c r="MJ487" s="220"/>
      <c r="MK487" s="220"/>
      <c r="ML487" s="220"/>
      <c r="MM487" s="220"/>
      <c r="MN487" s="220"/>
      <c r="MO487" s="220"/>
      <c r="MP487" s="220"/>
      <c r="MQ487" s="220"/>
      <c r="MR487" s="220"/>
      <c r="MS487" s="220"/>
      <c r="MT487" s="220"/>
      <c r="MU487" s="220"/>
      <c r="MV487" s="220"/>
      <c r="MW487" s="220"/>
      <c r="MX487" s="220"/>
      <c r="MY487" s="220"/>
      <c r="MZ487" s="220"/>
      <c r="NA487" s="220"/>
      <c r="NB487" s="220"/>
      <c r="NC487" s="220"/>
      <c r="ND487" s="220"/>
      <c r="NE487" s="220"/>
      <c r="NF487" s="220"/>
      <c r="NG487" s="220"/>
      <c r="NH487" s="220"/>
      <c r="NI487" s="220"/>
      <c r="NJ487" s="220"/>
      <c r="NK487" s="220"/>
      <c r="NL487" s="220"/>
      <c r="NM487" s="220"/>
      <c r="NN487" s="220"/>
      <c r="NO487" s="220"/>
      <c r="NP487" s="220"/>
      <c r="NQ487" s="220"/>
      <c r="NR487" s="220"/>
      <c r="NS487" s="220"/>
      <c r="NT487" s="220"/>
      <c r="NU487" s="220"/>
      <c r="NV487" s="220"/>
      <c r="NW487" s="220"/>
      <c r="NX487" s="220"/>
      <c r="NY487" s="220"/>
      <c r="NZ487" s="220"/>
      <c r="OA487" s="220"/>
      <c r="OB487" s="220"/>
      <c r="OC487" s="220"/>
      <c r="OD487" s="220"/>
      <c r="OE487" s="220"/>
      <c r="OF487" s="220"/>
      <c r="OG487" s="220"/>
      <c r="OH487" s="220"/>
      <c r="OI487" s="220"/>
      <c r="OJ487" s="220"/>
      <c r="OK487" s="220"/>
      <c r="OL487" s="220"/>
      <c r="OM487" s="220"/>
      <c r="ON487" s="220"/>
      <c r="OO487" s="220"/>
      <c r="OP487" s="220"/>
      <c r="OQ487" s="220"/>
      <c r="OR487" s="220"/>
      <c r="OS487" s="220"/>
      <c r="OT487" s="220"/>
      <c r="OU487" s="220"/>
      <c r="OV487" s="220"/>
      <c r="OW487" s="220"/>
      <c r="OX487" s="220"/>
      <c r="OY487" s="220"/>
      <c r="OZ487" s="220"/>
      <c r="PA487" s="220"/>
      <c r="PB487" s="220"/>
      <c r="PC487" s="220"/>
      <c r="PD487" s="220"/>
      <c r="PE487" s="220"/>
      <c r="PF487" s="220"/>
      <c r="PG487" s="220"/>
      <c r="PH487" s="220"/>
      <c r="PI487" s="220"/>
      <c r="PJ487" s="220"/>
      <c r="PK487" s="220"/>
      <c r="PL487" s="220"/>
      <c r="PM487" s="220"/>
      <c r="PN487" s="220"/>
      <c r="PO487" s="220"/>
      <c r="PP487" s="220"/>
      <c r="PQ487" s="220"/>
      <c r="PR487" s="220"/>
      <c r="PS487" s="220"/>
      <c r="PT487" s="220"/>
      <c r="PU487" s="220"/>
      <c r="PV487" s="220"/>
      <c r="PW487" s="220"/>
      <c r="PX487" s="220"/>
      <c r="PY487" s="220"/>
      <c r="PZ487" s="220"/>
      <c r="QA487" s="220"/>
      <c r="QB487" s="220"/>
      <c r="QC487" s="220"/>
      <c r="QD487" s="220"/>
      <c r="QE487" s="220"/>
      <c r="QF487" s="220"/>
      <c r="QG487" s="220"/>
      <c r="QH487" s="220"/>
      <c r="QI487" s="220"/>
      <c r="QJ487" s="220"/>
      <c r="QK487" s="220"/>
      <c r="QL487" s="220"/>
      <c r="QM487" s="220"/>
      <c r="QN487" s="220"/>
      <c r="QO487" s="220"/>
      <c r="QP487" s="220"/>
      <c r="QQ487" s="220"/>
      <c r="QR487" s="220"/>
      <c r="QS487" s="220"/>
      <c r="QT487" s="220"/>
      <c r="QU487" s="220"/>
      <c r="QV487" s="220"/>
      <c r="QW487" s="220"/>
      <c r="QX487" s="220"/>
      <c r="QY487" s="220"/>
      <c r="QZ487" s="220"/>
      <c r="RA487" s="220"/>
      <c r="RB487" s="220"/>
      <c r="RC487" s="220"/>
      <c r="RD487" s="220"/>
      <c r="RE487" s="220"/>
      <c r="RF487" s="220"/>
      <c r="RG487" s="220"/>
      <c r="RH487" s="220"/>
      <c r="RI487" s="220"/>
      <c r="RJ487" s="220"/>
      <c r="RK487" s="220"/>
      <c r="RL487" s="220"/>
      <c r="RM487" s="220"/>
      <c r="RN487" s="220"/>
      <c r="RO487" s="220"/>
      <c r="RP487" s="220"/>
      <c r="RQ487" s="220"/>
      <c r="RR487" s="220"/>
      <c r="RS487" s="220"/>
      <c r="RT487" s="220"/>
      <c r="RU487" s="220"/>
      <c r="RV487" s="220"/>
      <c r="RW487" s="220"/>
      <c r="RX487" s="220"/>
      <c r="RY487" s="220"/>
      <c r="RZ487" s="220"/>
      <c r="SA487" s="220"/>
      <c r="SB487" s="220"/>
      <c r="SC487" s="220"/>
      <c r="SD487" s="220"/>
      <c r="SE487" s="220"/>
      <c r="SF487" s="220"/>
      <c r="SG487" s="220"/>
      <c r="SH487" s="220"/>
      <c r="SI487" s="220"/>
      <c r="SJ487" s="220"/>
      <c r="SK487" s="220"/>
      <c r="SL487" s="220"/>
      <c r="SM487" s="220"/>
      <c r="SN487" s="220"/>
      <c r="SO487" s="220"/>
      <c r="SP487" s="220"/>
      <c r="SQ487" s="220"/>
      <c r="SR487" s="220"/>
      <c r="SS487" s="220"/>
      <c r="ST487" s="220"/>
      <c r="SU487" s="220"/>
      <c r="SV487" s="220"/>
      <c r="SW487" s="220"/>
      <c r="SX487" s="220"/>
      <c r="SY487" s="220"/>
      <c r="SZ487" s="220"/>
      <c r="TA487" s="220"/>
      <c r="TB487" s="220"/>
      <c r="TC487" s="220"/>
      <c r="TD487" s="220"/>
      <c r="TE487" s="220"/>
      <c r="TF487" s="220"/>
      <c r="TG487" s="220"/>
      <c r="TH487" s="220"/>
      <c r="TI487" s="220"/>
      <c r="TJ487" s="220"/>
      <c r="TK487" s="220"/>
      <c r="TL487" s="220"/>
      <c r="TM487" s="220"/>
      <c r="TN487" s="220"/>
      <c r="TO487" s="220"/>
      <c r="TP487" s="220"/>
      <c r="TQ487" s="220"/>
      <c r="TR487" s="220"/>
      <c r="TS487" s="220"/>
      <c r="TT487" s="220"/>
      <c r="TU487" s="220"/>
      <c r="TV487" s="220"/>
      <c r="TW487" s="220"/>
      <c r="TX487" s="220"/>
      <c r="TY487" s="220"/>
      <c r="TZ487" s="220"/>
      <c r="UA487" s="220"/>
      <c r="UB487" s="220"/>
      <c r="UC487" s="220"/>
      <c r="UD487" s="220"/>
      <c r="UE487" s="220"/>
      <c r="UF487" s="220"/>
      <c r="UG487" s="220"/>
      <c r="UH487" s="220"/>
      <c r="UI487" s="220"/>
      <c r="UJ487" s="220"/>
      <c r="UK487" s="220"/>
      <c r="UL487" s="220"/>
      <c r="UM487" s="220"/>
      <c r="UN487" s="220"/>
      <c r="UO487" s="220"/>
      <c r="UP487" s="220"/>
      <c r="UQ487" s="220"/>
      <c r="UR487" s="220"/>
      <c r="US487" s="220"/>
      <c r="UT487" s="220"/>
      <c r="UU487" s="220"/>
      <c r="UV487" s="220"/>
      <c r="UW487" s="220"/>
      <c r="UX487" s="220"/>
      <c r="UY487" s="220"/>
      <c r="UZ487" s="220"/>
      <c r="VA487" s="220"/>
      <c r="VB487" s="220"/>
      <c r="VC487" s="220"/>
      <c r="VD487" s="220"/>
      <c r="VE487" s="220"/>
      <c r="VF487" s="220"/>
      <c r="VG487" s="220"/>
      <c r="VH487" s="220"/>
      <c r="VI487" s="220"/>
      <c r="VJ487" s="220"/>
      <c r="VK487" s="220"/>
      <c r="VL487" s="220"/>
      <c r="VM487" s="220"/>
      <c r="VN487" s="220"/>
      <c r="VO487" s="220"/>
      <c r="VP487" s="220"/>
      <c r="VQ487" s="220"/>
      <c r="VR487" s="220"/>
      <c r="VS487" s="220"/>
      <c r="VT487" s="220"/>
      <c r="VU487" s="220"/>
      <c r="VV487" s="220"/>
      <c r="VW487" s="220"/>
      <c r="VX487" s="220"/>
      <c r="VY487" s="220"/>
      <c r="VZ487" s="220"/>
      <c r="WA487" s="220"/>
      <c r="WB487" s="220"/>
      <c r="WC487" s="220"/>
      <c r="WD487" s="220"/>
      <c r="WE487" s="220"/>
      <c r="WF487" s="220"/>
      <c r="WG487" s="220"/>
      <c r="WH487" s="220"/>
      <c r="WI487" s="220"/>
      <c r="WJ487" s="220"/>
      <c r="WK487" s="220"/>
      <c r="WL487" s="220"/>
      <c r="WM487" s="220"/>
      <c r="WN487" s="220"/>
      <c r="WO487" s="220"/>
      <c r="WP487" s="220"/>
      <c r="WQ487" s="220"/>
      <c r="WR487" s="220"/>
      <c r="WS487" s="220"/>
      <c r="WT487" s="220"/>
      <c r="WU487" s="220"/>
      <c r="WV487" s="220"/>
      <c r="WW487" s="220"/>
      <c r="WX487" s="220"/>
      <c r="WY487" s="220"/>
      <c r="WZ487" s="220"/>
      <c r="XA487" s="220"/>
      <c r="XB487" s="220"/>
      <c r="XC487" s="220"/>
      <c r="XD487" s="220"/>
      <c r="XE487" s="220"/>
      <c r="XF487" s="220"/>
      <c r="XG487" s="220"/>
      <c r="XH487" s="220"/>
      <c r="XI487" s="220"/>
      <c r="XJ487" s="220"/>
      <c r="XK487" s="220"/>
      <c r="XL487" s="220"/>
      <c r="XM487" s="220"/>
      <c r="XN487" s="220"/>
      <c r="XO487" s="220"/>
      <c r="XP487" s="220"/>
      <c r="XQ487" s="220"/>
      <c r="XR487" s="220"/>
      <c r="XS487" s="220"/>
      <c r="XT487" s="220"/>
      <c r="XU487" s="220"/>
      <c r="XV487" s="220"/>
      <c r="XW487" s="220"/>
      <c r="XX487" s="220"/>
      <c r="XY487" s="220"/>
      <c r="XZ487" s="220"/>
      <c r="YA487" s="220"/>
      <c r="YB487" s="220"/>
      <c r="YC487" s="220"/>
      <c r="YD487" s="220"/>
      <c r="YE487" s="220"/>
      <c r="YF487" s="220"/>
      <c r="YG487" s="220"/>
      <c r="YH487" s="220"/>
      <c r="YI487" s="220"/>
      <c r="YJ487" s="220"/>
      <c r="YK487" s="220"/>
      <c r="YL487" s="220"/>
      <c r="YM487" s="220"/>
      <c r="YN487" s="220"/>
      <c r="YO487" s="220"/>
      <c r="YP487" s="220"/>
      <c r="YQ487" s="220"/>
      <c r="YR487" s="220"/>
      <c r="YS487" s="220"/>
      <c r="YT487" s="220"/>
      <c r="YU487" s="220"/>
      <c r="YV487" s="220"/>
      <c r="YW487" s="220"/>
      <c r="YX487" s="220"/>
      <c r="YY487" s="220"/>
      <c r="YZ487" s="220"/>
      <c r="ZA487" s="220"/>
      <c r="ZB487" s="220"/>
      <c r="ZC487" s="220"/>
      <c r="ZD487" s="220"/>
      <c r="ZE487" s="220"/>
      <c r="ZF487" s="220"/>
      <c r="ZG487" s="220"/>
      <c r="ZH487" s="220"/>
      <c r="ZI487" s="220"/>
      <c r="ZJ487" s="220"/>
      <c r="ZK487" s="220"/>
      <c r="ZL487" s="220"/>
      <c r="ZM487" s="220"/>
      <c r="ZN487" s="220"/>
      <c r="ZO487" s="220"/>
      <c r="ZP487" s="220"/>
      <c r="ZQ487" s="220"/>
      <c r="ZR487" s="220"/>
      <c r="ZS487" s="220"/>
      <c r="ZT487" s="220"/>
      <c r="ZU487" s="220"/>
      <c r="ZV487" s="220"/>
      <c r="ZW487" s="220"/>
      <c r="ZX487" s="220"/>
      <c r="ZY487" s="220"/>
      <c r="ZZ487" s="220"/>
      <c r="AAA487" s="220"/>
      <c r="AAB487" s="220"/>
      <c r="AAC487" s="220"/>
      <c r="AAD487" s="220"/>
      <c r="AAE487" s="220"/>
      <c r="AAF487" s="220"/>
      <c r="AAG487" s="220"/>
      <c r="AAH487" s="220"/>
      <c r="AAI487" s="220"/>
      <c r="AAJ487" s="220"/>
      <c r="AAK487" s="220"/>
      <c r="AAL487" s="220"/>
      <c r="AAM487" s="220"/>
      <c r="AAN487" s="220"/>
      <c r="AAO487" s="220"/>
      <c r="AAP487" s="220"/>
      <c r="AAQ487" s="220"/>
      <c r="AAR487" s="220"/>
      <c r="AAS487" s="220"/>
      <c r="AAT487" s="220"/>
      <c r="AAU487" s="220"/>
      <c r="AAV487" s="220"/>
      <c r="AAW487" s="220"/>
      <c r="AAX487" s="220"/>
      <c r="AAY487" s="220"/>
      <c r="AAZ487" s="220"/>
      <c r="ABA487" s="220"/>
      <c r="ABB487" s="220"/>
      <c r="ABC487" s="220"/>
      <c r="ABD487" s="220"/>
      <c r="ABE487" s="220"/>
      <c r="ABF487" s="220"/>
      <c r="ABG487" s="220"/>
    </row>
    <row r="488" spans="1:735" s="3" customFormat="1" x14ac:dyDescent="0.2">
      <c r="A488" s="180">
        <v>2223</v>
      </c>
      <c r="B488" s="180" t="s">
        <v>328</v>
      </c>
      <c r="C488" s="120">
        <f>C489</f>
        <v>76000</v>
      </c>
      <c r="D488" s="120">
        <f>D489</f>
        <v>50000</v>
      </c>
      <c r="E488" s="120">
        <v>49370</v>
      </c>
      <c r="F488" s="126"/>
      <c r="G488" s="120">
        <f t="shared" ref="G488:G493" si="149">E488/C488*100</f>
        <v>64.960526315789465</v>
      </c>
      <c r="H488" s="120">
        <f>E488/D488*100</f>
        <v>98.740000000000009</v>
      </c>
      <c r="I488" s="120">
        <f t="shared" ref="I488:I492" si="150">E488/J488*100</f>
        <v>103.38617469059534</v>
      </c>
      <c r="J488" s="6">
        <v>47753</v>
      </c>
    </row>
    <row r="489" spans="1:735" s="3" customFormat="1" x14ac:dyDescent="0.2">
      <c r="A489" s="180"/>
      <c r="B489" s="240" t="s">
        <v>327</v>
      </c>
      <c r="C489" s="126">
        <v>76000</v>
      </c>
      <c r="D489" s="126">
        <f>76000+(-6000-16000-4000)</f>
        <v>50000</v>
      </c>
      <c r="E489" s="206">
        <v>49370</v>
      </c>
      <c r="F489" s="206"/>
      <c r="G489" s="126">
        <f t="shared" si="149"/>
        <v>64.960526315789465</v>
      </c>
      <c r="H489" s="126">
        <f t="shared" ref="H489" si="151">E489/D489*100</f>
        <v>98.740000000000009</v>
      </c>
      <c r="I489" s="126">
        <f t="shared" si="150"/>
        <v>103.38617469059534</v>
      </c>
      <c r="J489" s="14">
        <v>47753</v>
      </c>
    </row>
    <row r="490" spans="1:735" s="3" customFormat="1" x14ac:dyDescent="0.2">
      <c r="A490" s="180">
        <v>2292</v>
      </c>
      <c r="B490" s="180" t="s">
        <v>326</v>
      </c>
      <c r="C490" s="120">
        <f>SUM(C491:C495)</f>
        <v>6962417</v>
      </c>
      <c r="D490" s="120">
        <f>SUM(D491:D495)</f>
        <v>6677658</v>
      </c>
      <c r="E490" s="120">
        <v>6626058</v>
      </c>
      <c r="F490" s="126">
        <f>SUM(E491:E495)</f>
        <v>6626058</v>
      </c>
      <c r="G490" s="120">
        <f t="shared" si="149"/>
        <v>95.168933432168743</v>
      </c>
      <c r="H490" s="120">
        <f>E490/D490*100</f>
        <v>99.227273993367135</v>
      </c>
      <c r="I490" s="120">
        <f t="shared" si="150"/>
        <v>107.55859546520958</v>
      </c>
      <c r="J490" s="14">
        <v>6160417</v>
      </c>
    </row>
    <row r="491" spans="1:735" s="3" customFormat="1" x14ac:dyDescent="0.2">
      <c r="A491" s="180"/>
      <c r="B491" s="237" t="s">
        <v>325</v>
      </c>
      <c r="C491" s="126">
        <v>1112417</v>
      </c>
      <c r="D491" s="126">
        <v>1112417</v>
      </c>
      <c r="E491" s="130">
        <v>1112417</v>
      </c>
      <c r="F491" s="130"/>
      <c r="G491" s="126">
        <f t="shared" si="149"/>
        <v>100</v>
      </c>
      <c r="H491" s="126">
        <f>E491/D491*100</f>
        <v>100</v>
      </c>
      <c r="I491" s="126">
        <f t="shared" si="150"/>
        <v>100</v>
      </c>
      <c r="J491" s="14">
        <v>1112417</v>
      </c>
    </row>
    <row r="492" spans="1:735" s="3" customFormat="1" x14ac:dyDescent="0.2">
      <c r="A492" s="180"/>
      <c r="B492" s="237" t="s">
        <v>324</v>
      </c>
      <c r="C492" s="126">
        <v>5100000</v>
      </c>
      <c r="D492" s="126">
        <f>5100000-59000+118000</f>
        <v>5159000</v>
      </c>
      <c r="E492" s="130">
        <v>5159000</v>
      </c>
      <c r="F492" s="130"/>
      <c r="G492" s="126">
        <f t="shared" si="149"/>
        <v>101.15686274509802</v>
      </c>
      <c r="H492" s="126">
        <f>E492/D492*100</f>
        <v>100</v>
      </c>
      <c r="I492" s="126">
        <f t="shared" si="150"/>
        <v>102.40174672489081</v>
      </c>
      <c r="J492" s="6">
        <v>5038000</v>
      </c>
    </row>
    <row r="493" spans="1:735" s="236" customFormat="1" ht="25.5" x14ac:dyDescent="0.2">
      <c r="A493" s="180"/>
      <c r="B493" s="179" t="s">
        <v>323</v>
      </c>
      <c r="C493" s="126">
        <v>200000</v>
      </c>
      <c r="D493" s="126">
        <f>200000-55360-60000</f>
        <v>84640</v>
      </c>
      <c r="E493" s="126">
        <v>44640</v>
      </c>
      <c r="F493" s="126"/>
      <c r="G493" s="126">
        <f t="shared" si="149"/>
        <v>22.32</v>
      </c>
      <c r="H493" s="126">
        <f t="shared" ref="H493" si="152">E493/D493*100</f>
        <v>52.741020793950852</v>
      </c>
      <c r="I493" s="126">
        <v>0</v>
      </c>
      <c r="J493" s="129">
        <v>0</v>
      </c>
    </row>
    <row r="494" spans="1:735" s="3" customFormat="1" x14ac:dyDescent="0.2">
      <c r="A494" s="235"/>
      <c r="B494" s="234" t="s">
        <v>1012</v>
      </c>
      <c r="C494" s="130">
        <v>0</v>
      </c>
      <c r="D494" s="130">
        <v>60000</v>
      </c>
      <c r="E494" s="130">
        <v>48400</v>
      </c>
      <c r="F494" s="130"/>
      <c r="G494" s="126">
        <v>0</v>
      </c>
      <c r="H494" s="126">
        <f>E494/D494*100</f>
        <v>80.666666666666657</v>
      </c>
      <c r="I494" s="126">
        <v>0</v>
      </c>
      <c r="J494" s="129">
        <v>0</v>
      </c>
    </row>
    <row r="495" spans="1:735" s="3" customFormat="1" x14ac:dyDescent="0.2">
      <c r="A495" s="235"/>
      <c r="B495" s="234" t="s">
        <v>322</v>
      </c>
      <c r="C495" s="130">
        <v>550000</v>
      </c>
      <c r="D495" s="130">
        <f>550000-150000-138399</f>
        <v>261601</v>
      </c>
      <c r="E495" s="130">
        <v>261601</v>
      </c>
      <c r="F495" s="130"/>
      <c r="G495" s="126">
        <f t="shared" ref="G495" si="153">E495/C495*100</f>
        <v>47.563818181818178</v>
      </c>
      <c r="H495" s="126">
        <f t="shared" ref="H495" si="154">E495/D495*100</f>
        <v>100</v>
      </c>
      <c r="I495" s="126">
        <v>0</v>
      </c>
      <c r="J495" s="129">
        <v>0</v>
      </c>
    </row>
    <row r="496" spans="1:735" s="3" customFormat="1" ht="13.5" thickBot="1" x14ac:dyDescent="0.25">
      <c r="A496" s="232"/>
      <c r="B496" s="231"/>
      <c r="C496" s="151"/>
      <c r="D496" s="151"/>
      <c r="E496" s="117"/>
      <c r="F496" s="117"/>
      <c r="G496" s="151"/>
      <c r="H496" s="151"/>
      <c r="I496" s="151"/>
      <c r="J496" s="129"/>
    </row>
    <row r="497" spans="1:52" s="3" customFormat="1" ht="21" thickBot="1" x14ac:dyDescent="0.35">
      <c r="A497" s="230"/>
      <c r="B497" s="139" t="s">
        <v>321</v>
      </c>
      <c r="C497" s="176">
        <f>SUM(C498:C499)</f>
        <v>112000</v>
      </c>
      <c r="D497" s="176">
        <f>SUM(D498:D499)</f>
        <v>112000</v>
      </c>
      <c r="E497" s="181">
        <v>47442.95</v>
      </c>
      <c r="F497" s="317">
        <f>SUM(E498:E499)</f>
        <v>47442.95</v>
      </c>
      <c r="G497" s="571">
        <f>E497/C497*100</f>
        <v>42.359776785714281</v>
      </c>
      <c r="H497" s="181">
        <f>E497/D497*100</f>
        <v>42.359776785714281</v>
      </c>
      <c r="I497" s="181">
        <f>E497/J497*100</f>
        <v>92.226099296294848</v>
      </c>
      <c r="J497" s="129">
        <v>51442</v>
      </c>
    </row>
    <row r="498" spans="1:52" s="3" customFormat="1" ht="12.75" customHeight="1" x14ac:dyDescent="0.2">
      <c r="A498" s="180">
        <v>2223</v>
      </c>
      <c r="B498" s="123" t="s">
        <v>320</v>
      </c>
      <c r="C498" s="120">
        <v>100000</v>
      </c>
      <c r="D498" s="120">
        <v>100000</v>
      </c>
      <c r="E498" s="120">
        <v>46582.95</v>
      </c>
      <c r="F498" s="126"/>
      <c r="G498" s="120">
        <f t="shared" ref="G498:G499" si="155">E498/C498*100</f>
        <v>46.582949999999997</v>
      </c>
      <c r="H498" s="120">
        <f>E498/D498*100</f>
        <v>46.582949999999997</v>
      </c>
      <c r="I498" s="120">
        <f>E498/J498*100</f>
        <v>92.252599267254169</v>
      </c>
      <c r="J498" s="162">
        <v>50495</v>
      </c>
    </row>
    <row r="499" spans="1:52" s="3" customFormat="1" x14ac:dyDescent="0.2">
      <c r="A499" s="180">
        <v>6171</v>
      </c>
      <c r="B499" s="229" t="s">
        <v>319</v>
      </c>
      <c r="C499" s="120">
        <v>12000</v>
      </c>
      <c r="D499" s="120">
        <v>12000</v>
      </c>
      <c r="E499" s="211">
        <v>860</v>
      </c>
      <c r="F499" s="152"/>
      <c r="G499" s="120">
        <f t="shared" si="155"/>
        <v>7.166666666666667</v>
      </c>
      <c r="H499" s="120">
        <f>E499/D499*100</f>
        <v>7.166666666666667</v>
      </c>
      <c r="I499" s="120">
        <f>E499/J499*100</f>
        <v>90.813093980992605</v>
      </c>
      <c r="J499" s="162">
        <v>947</v>
      </c>
    </row>
    <row r="500" spans="1:52" s="3" customFormat="1" ht="13.5" thickBot="1" x14ac:dyDescent="0.25">
      <c r="A500" s="228"/>
      <c r="B500" s="227"/>
      <c r="C500" s="117"/>
      <c r="D500" s="117"/>
      <c r="E500" s="520"/>
      <c r="F500" s="520"/>
      <c r="G500" s="151"/>
      <c r="H500" s="151"/>
      <c r="I500" s="151"/>
      <c r="J500" s="14"/>
    </row>
    <row r="501" spans="1:52" s="3" customFormat="1" ht="21" thickBot="1" x14ac:dyDescent="0.35">
      <c r="A501" s="226"/>
      <c r="B501" s="225" t="s">
        <v>318</v>
      </c>
      <c r="C501" s="35">
        <f>C502</f>
        <v>500000</v>
      </c>
      <c r="D501" s="35">
        <f>D502</f>
        <v>740709.65</v>
      </c>
      <c r="E501" s="181">
        <v>738547.49</v>
      </c>
      <c r="F501" s="317">
        <f>E502</f>
        <v>738547.49</v>
      </c>
      <c r="G501" s="571">
        <f>E501/C501*100</f>
        <v>147.709498</v>
      </c>
      <c r="H501" s="181">
        <f>E501/D501*100</f>
        <v>99.708096148065579</v>
      </c>
      <c r="I501" s="181">
        <f>E501/J501*100</f>
        <v>93.999867097698441</v>
      </c>
      <c r="J501" s="129">
        <v>785689.93</v>
      </c>
      <c r="K501" s="220"/>
      <c r="L501" s="220"/>
      <c r="M501" s="220"/>
      <c r="N501" s="220"/>
      <c r="O501" s="220"/>
      <c r="P501" s="220"/>
      <c r="Q501" s="220"/>
      <c r="R501" s="220"/>
      <c r="S501" s="220"/>
      <c r="T501" s="220"/>
      <c r="U501" s="220"/>
      <c r="V501" s="220"/>
      <c r="W501" s="220"/>
      <c r="X501" s="220"/>
      <c r="Y501" s="220"/>
      <c r="Z501" s="220"/>
      <c r="AA501" s="220"/>
      <c r="AB501" s="220"/>
      <c r="AC501" s="220"/>
      <c r="AD501" s="220"/>
      <c r="AE501" s="220"/>
      <c r="AF501" s="220"/>
      <c r="AG501" s="220"/>
      <c r="AH501" s="220"/>
      <c r="AI501" s="220"/>
      <c r="AJ501" s="220"/>
      <c r="AK501" s="220"/>
      <c r="AL501" s="220"/>
      <c r="AM501" s="220"/>
      <c r="AN501" s="220"/>
      <c r="AO501" s="220"/>
      <c r="AP501" s="220"/>
      <c r="AQ501" s="220"/>
      <c r="AR501" s="220"/>
      <c r="AS501" s="220"/>
      <c r="AT501" s="220"/>
      <c r="AU501" s="220"/>
      <c r="AV501" s="220"/>
      <c r="AW501" s="220"/>
      <c r="AX501" s="220"/>
      <c r="AY501" s="220"/>
      <c r="AZ501" s="220"/>
    </row>
    <row r="502" spans="1:52" s="3" customFormat="1" x14ac:dyDescent="0.2">
      <c r="A502" s="123">
        <v>6114</v>
      </c>
      <c r="B502" s="19" t="s">
        <v>317</v>
      </c>
      <c r="C502" s="18">
        <v>500000</v>
      </c>
      <c r="D502" s="18">
        <f>500000+(702000-499000)+(698024.75-659315.1-1000)</f>
        <v>740709.65</v>
      </c>
      <c r="E502" s="122">
        <v>738547.49</v>
      </c>
      <c r="F502" s="127"/>
      <c r="G502" s="120">
        <f t="shared" ref="G502" si="156">E502/C502*100</f>
        <v>147.709498</v>
      </c>
      <c r="H502" s="120">
        <f t="shared" ref="H502" si="157">E502/D502*100</f>
        <v>99.708096148065579</v>
      </c>
      <c r="I502" s="120">
        <f>E502/J502*100</f>
        <v>93.999867097698441</v>
      </c>
      <c r="J502" s="162">
        <v>785689.93</v>
      </c>
      <c r="K502" s="220"/>
      <c r="L502" s="220"/>
      <c r="M502" s="220"/>
      <c r="N502" s="220"/>
      <c r="O502" s="220"/>
      <c r="P502" s="220"/>
      <c r="Q502" s="220"/>
      <c r="R502" s="220"/>
      <c r="S502" s="220"/>
      <c r="T502" s="220"/>
      <c r="U502" s="220"/>
      <c r="V502" s="220"/>
      <c r="W502" s="220"/>
      <c r="X502" s="220"/>
      <c r="Y502" s="220"/>
      <c r="Z502" s="220"/>
      <c r="AA502" s="220"/>
      <c r="AB502" s="220"/>
      <c r="AC502" s="220"/>
      <c r="AD502" s="220"/>
      <c r="AE502" s="220"/>
      <c r="AF502" s="220"/>
      <c r="AG502" s="220"/>
      <c r="AH502" s="220"/>
      <c r="AI502" s="220"/>
      <c r="AJ502" s="220"/>
      <c r="AK502" s="220"/>
      <c r="AL502" s="220"/>
      <c r="AM502" s="220"/>
      <c r="AN502" s="220"/>
      <c r="AO502" s="220"/>
      <c r="AP502" s="220"/>
      <c r="AQ502" s="220"/>
      <c r="AR502" s="220"/>
      <c r="AS502" s="220"/>
      <c r="AT502" s="220"/>
      <c r="AU502" s="220"/>
      <c r="AV502" s="220"/>
      <c r="AW502" s="220"/>
      <c r="AX502" s="220"/>
      <c r="AY502" s="220"/>
      <c r="AZ502" s="220"/>
    </row>
    <row r="503" spans="1:52" s="3" customFormat="1" ht="13.5" thickBot="1" x14ac:dyDescent="0.25">
      <c r="A503" s="141"/>
      <c r="B503" s="222"/>
      <c r="C503" s="221"/>
      <c r="D503" s="221"/>
      <c r="E503" s="521"/>
      <c r="F503" s="152"/>
      <c r="G503" s="486"/>
      <c r="H503" s="486"/>
      <c r="I503" s="486"/>
      <c r="J503" s="162"/>
      <c r="K503" s="220"/>
      <c r="L503" s="220"/>
      <c r="M503" s="220"/>
      <c r="N503" s="220"/>
      <c r="O503" s="220"/>
      <c r="P503" s="220"/>
      <c r="Q503" s="220"/>
      <c r="R503" s="220"/>
      <c r="S503" s="220"/>
      <c r="T503" s="220"/>
      <c r="U503" s="220"/>
      <c r="V503" s="220"/>
      <c r="W503" s="220"/>
      <c r="X503" s="220"/>
      <c r="Y503" s="220"/>
      <c r="Z503" s="220"/>
      <c r="AA503" s="220"/>
      <c r="AB503" s="220"/>
      <c r="AC503" s="220"/>
      <c r="AD503" s="220"/>
      <c r="AE503" s="220"/>
      <c r="AF503" s="220"/>
      <c r="AG503" s="220"/>
      <c r="AH503" s="220"/>
      <c r="AI503" s="220"/>
      <c r="AJ503" s="220"/>
      <c r="AK503" s="220"/>
      <c r="AL503" s="220"/>
      <c r="AM503" s="220"/>
      <c r="AN503" s="220"/>
      <c r="AO503" s="220"/>
      <c r="AP503" s="220"/>
      <c r="AQ503" s="220"/>
      <c r="AR503" s="220"/>
      <c r="AS503" s="220"/>
      <c r="AT503" s="220"/>
      <c r="AU503" s="220"/>
      <c r="AV503" s="220"/>
      <c r="AW503" s="220"/>
      <c r="AX503" s="220"/>
      <c r="AY503" s="220"/>
      <c r="AZ503" s="220"/>
    </row>
    <row r="504" spans="1:52" s="3" customFormat="1" ht="21" thickBot="1" x14ac:dyDescent="0.35">
      <c r="A504" s="219"/>
      <c r="B504" s="218" t="s">
        <v>316</v>
      </c>
      <c r="C504" s="35">
        <f>C505+C557+C580</f>
        <v>165843398.80000001</v>
      </c>
      <c r="D504" s="35">
        <f>D505+D557+D580</f>
        <v>144564618.49000001</v>
      </c>
      <c r="E504" s="242">
        <v>143124638.78999999</v>
      </c>
      <c r="F504" s="705">
        <f>SUM(E505,E557,E580)</f>
        <v>143124638.69</v>
      </c>
      <c r="G504" s="571">
        <f>E504/C504*100</f>
        <v>86.301076693804461</v>
      </c>
      <c r="H504" s="181">
        <f>E504/D504*100</f>
        <v>99.003919690003798</v>
      </c>
      <c r="I504" s="181">
        <f>E504/J504*100</f>
        <v>113.26407396012699</v>
      </c>
      <c r="J504" s="162">
        <v>126363668.36</v>
      </c>
    </row>
    <row r="505" spans="1:52" s="3" customFormat="1" ht="16.5" customHeight="1" thickBot="1" x14ac:dyDescent="0.3">
      <c r="A505" s="140"/>
      <c r="B505" s="202" t="s">
        <v>315</v>
      </c>
      <c r="C505" s="157">
        <f>SUM(C506,C525,C556,C551)</f>
        <v>84320582.799999997</v>
      </c>
      <c r="D505" s="157">
        <f>SUM(D506,D525,D556,D551)</f>
        <v>72524481.810000002</v>
      </c>
      <c r="E505" s="312">
        <v>72511989.859999999</v>
      </c>
      <c r="F505" s="705">
        <f>SUM(E506,E525,E551,E556)</f>
        <v>72511989.859999999</v>
      </c>
      <c r="G505" s="479">
        <f>E505/C505*100</f>
        <v>85.995598526626878</v>
      </c>
      <c r="H505" s="479">
        <f>E505/D505*100</f>
        <v>99.98277554049578</v>
      </c>
      <c r="I505" s="479">
        <f>E505/J505*100</f>
        <v>139.28163058008101</v>
      </c>
      <c r="J505" s="162">
        <v>52061416.539999999</v>
      </c>
    </row>
    <row r="506" spans="1:52" s="3" customFormat="1" x14ac:dyDescent="0.2">
      <c r="A506" s="138">
        <v>3111</v>
      </c>
      <c r="B506" s="188" t="s">
        <v>314</v>
      </c>
      <c r="C506" s="217">
        <f>SUM(C507:C509)</f>
        <v>21243000</v>
      </c>
      <c r="D506" s="217">
        <f>SUM(D507:D509)</f>
        <v>19067720.219999999</v>
      </c>
      <c r="E506" s="120">
        <v>19067720.219999999</v>
      </c>
      <c r="F506" s="126">
        <f>SUM(E507:E509)</f>
        <v>19067720.219999999</v>
      </c>
      <c r="G506" s="120">
        <f t="shared" ref="G506:G569" si="158">E506/C506*100</f>
        <v>89.76001609942098</v>
      </c>
      <c r="H506" s="120">
        <f t="shared" ref="H506:H528" si="159">E506/D506*100</f>
        <v>100</v>
      </c>
      <c r="I506" s="120">
        <f t="shared" ref="I506:I518" si="160">E506/J506*100</f>
        <v>156.17687702669971</v>
      </c>
      <c r="J506" s="162">
        <v>12209054.619999999</v>
      </c>
    </row>
    <row r="507" spans="1:52" s="3" customFormat="1" ht="12.75" customHeight="1" x14ac:dyDescent="0.2">
      <c r="A507" s="132"/>
      <c r="B507" s="581" t="s">
        <v>313</v>
      </c>
      <c r="C507" s="582">
        <f>SUM(C512,C521,C517)</f>
        <v>5998000</v>
      </c>
      <c r="D507" s="582">
        <f>SUM(D512,D521,D517)</f>
        <v>6620314</v>
      </c>
      <c r="E507" s="130">
        <f>SUM(E512,E517,E521)</f>
        <v>6620314</v>
      </c>
      <c r="F507" s="130"/>
      <c r="G507" s="126">
        <f t="shared" si="158"/>
        <v>110.37535845281761</v>
      </c>
      <c r="H507" s="126">
        <f t="shared" si="159"/>
        <v>100</v>
      </c>
      <c r="I507" s="126">
        <f t="shared" si="160"/>
        <v>92.737660171880236</v>
      </c>
      <c r="J507" s="6">
        <v>7138754.6200000001</v>
      </c>
    </row>
    <row r="508" spans="1:52" s="3" customFormat="1" ht="12.75" customHeight="1" x14ac:dyDescent="0.2">
      <c r="A508" s="132"/>
      <c r="B508" s="581" t="s">
        <v>312</v>
      </c>
      <c r="C508" s="582">
        <f>SUM(C513,C522,C518)</f>
        <v>3365000</v>
      </c>
      <c r="D508" s="582">
        <f>SUM(D513,D522,D518)</f>
        <v>3766053.27</v>
      </c>
      <c r="E508" s="151">
        <f>SUM(E513,E518,E522)</f>
        <v>3766053.27</v>
      </c>
      <c r="F508" s="151"/>
      <c r="G508" s="126">
        <f t="shared" si="158"/>
        <v>111.91837355126299</v>
      </c>
      <c r="H508" s="151">
        <f t="shared" si="159"/>
        <v>100</v>
      </c>
      <c r="I508" s="151">
        <f t="shared" si="160"/>
        <v>208.45240228862667</v>
      </c>
      <c r="J508" s="14">
        <v>1806673</v>
      </c>
    </row>
    <row r="509" spans="1:52" s="3" customFormat="1" ht="12.75" customHeight="1" x14ac:dyDescent="0.2">
      <c r="A509" s="132"/>
      <c r="B509" s="581" t="s">
        <v>311</v>
      </c>
      <c r="C509" s="582">
        <f>C523+C514</f>
        <v>11880000</v>
      </c>
      <c r="D509" s="582">
        <f>D523+D514</f>
        <v>8681352.9499999993</v>
      </c>
      <c r="E509" s="104">
        <f>SUM(E514,E523)</f>
        <v>8681352.9499999993</v>
      </c>
      <c r="F509" s="104"/>
      <c r="G509" s="126">
        <f t="shared" si="158"/>
        <v>73.07536153198653</v>
      </c>
      <c r="H509" s="130">
        <f t="shared" si="159"/>
        <v>100</v>
      </c>
      <c r="I509" s="151">
        <f t="shared" si="160"/>
        <v>266.00322126272397</v>
      </c>
      <c r="J509" s="201">
        <v>3263627</v>
      </c>
    </row>
    <row r="510" spans="1:52" s="3" customFormat="1" ht="12.75" customHeight="1" x14ac:dyDescent="0.2">
      <c r="A510" s="132"/>
      <c r="B510" s="216"/>
      <c r="C510" s="215"/>
      <c r="D510" s="215"/>
      <c r="E510" s="133"/>
      <c r="F510" s="133"/>
      <c r="G510" s="126"/>
      <c r="H510" s="126"/>
      <c r="I510" s="126"/>
      <c r="J510" s="14"/>
    </row>
    <row r="511" spans="1:52" s="17" customFormat="1" ht="12.75" customHeight="1" x14ac:dyDescent="0.25">
      <c r="A511" s="132"/>
      <c r="B511" s="183" t="s">
        <v>310</v>
      </c>
      <c r="C511" s="122">
        <f>C512+C513+C514</f>
        <v>11049000</v>
      </c>
      <c r="D511" s="122">
        <f>D512+D513+D514</f>
        <v>8808904.4600000009</v>
      </c>
      <c r="E511" s="121">
        <v>8808904.4600000009</v>
      </c>
      <c r="F511" s="130">
        <f>SUM(E512:E514)</f>
        <v>8808904.4600000009</v>
      </c>
      <c r="G511" s="120">
        <f t="shared" si="158"/>
        <v>79.725807403384934</v>
      </c>
      <c r="H511" s="120">
        <f t="shared" si="159"/>
        <v>100</v>
      </c>
      <c r="I511" s="120">
        <f t="shared" si="160"/>
        <v>330.48718068004041</v>
      </c>
      <c r="J511" s="14">
        <v>2665430</v>
      </c>
    </row>
    <row r="512" spans="1:52" s="3" customFormat="1" ht="12.75" customHeight="1" x14ac:dyDescent="0.2">
      <c r="A512" s="132"/>
      <c r="B512" s="183" t="s">
        <v>302</v>
      </c>
      <c r="C512" s="126">
        <v>1676000</v>
      </c>
      <c r="D512" s="126">
        <f>1676000-60000+(211024+42686+35680)</f>
        <v>1905390</v>
      </c>
      <c r="E512" s="130">
        <v>1905390</v>
      </c>
      <c r="F512" s="130"/>
      <c r="G512" s="126">
        <f t="shared" si="158"/>
        <v>113.68675417661098</v>
      </c>
      <c r="H512" s="126">
        <f t="shared" si="159"/>
        <v>100</v>
      </c>
      <c r="I512" s="126">
        <f t="shared" si="160"/>
        <v>80.732417282098865</v>
      </c>
      <c r="J512" s="6">
        <v>2360130</v>
      </c>
    </row>
    <row r="513" spans="1:10" ht="36.75" x14ac:dyDescent="0.2">
      <c r="A513" s="132" t="s">
        <v>309</v>
      </c>
      <c r="B513" s="183" t="s">
        <v>308</v>
      </c>
      <c r="C513" s="126">
        <f>(121+90+70+130+462-100)*1000</f>
        <v>773000</v>
      </c>
      <c r="D513" s="126">
        <f>((121+90+70+130+462-100)*1000)+250502.77-50959.71</f>
        <v>972543.06</v>
      </c>
      <c r="E513" s="152">
        <v>972543.06</v>
      </c>
      <c r="F513" s="152"/>
      <c r="G513" s="126">
        <f t="shared" si="158"/>
        <v>125.81410866752911</v>
      </c>
      <c r="H513" s="126">
        <f t="shared" si="159"/>
        <v>100</v>
      </c>
      <c r="I513" s="126">
        <f t="shared" si="160"/>
        <v>318.55324598755328</v>
      </c>
      <c r="J513" s="6">
        <v>305300</v>
      </c>
    </row>
    <row r="514" spans="1:10" ht="25.5" customHeight="1" x14ac:dyDescent="0.2">
      <c r="A514" s="132"/>
      <c r="B514" s="183" t="s">
        <v>307</v>
      </c>
      <c r="C514" s="126">
        <f>(3600+4000+1000)*1000</f>
        <v>8600000</v>
      </c>
      <c r="D514" s="126">
        <f>((3600+4000+1000)*1000)-1000000+(-211024-250502.77-42686-35680-1129135.83)</f>
        <v>5930971.4000000004</v>
      </c>
      <c r="E514" s="130">
        <v>5930971.4000000004</v>
      </c>
      <c r="F514" s="130"/>
      <c r="G514" s="126">
        <f t="shared" si="158"/>
        <v>68.964783720930228</v>
      </c>
      <c r="H514" s="126">
        <f t="shared" si="159"/>
        <v>100</v>
      </c>
      <c r="I514" s="126">
        <v>0</v>
      </c>
      <c r="J514" s="6">
        <v>0</v>
      </c>
    </row>
    <row r="515" spans="1:10" x14ac:dyDescent="0.2">
      <c r="A515" s="214"/>
      <c r="B515" s="213"/>
      <c r="C515" s="130"/>
      <c r="D515" s="130"/>
      <c r="E515" s="130"/>
      <c r="F515" s="130"/>
      <c r="G515" s="126"/>
      <c r="H515" s="126"/>
      <c r="I515" s="126"/>
      <c r="J515" s="6"/>
    </row>
    <row r="516" spans="1:10" x14ac:dyDescent="0.2">
      <c r="A516" s="132"/>
      <c r="B516" s="212" t="s">
        <v>306</v>
      </c>
      <c r="C516" s="122">
        <f>SUM(C517:C518)</f>
        <v>3515000</v>
      </c>
      <c r="D516" s="122">
        <f>SUM(D517:D518)</f>
        <v>3476075.92</v>
      </c>
      <c r="E516" s="121">
        <v>3476075.92</v>
      </c>
      <c r="F516" s="130">
        <f>SUM(E517:E518)</f>
        <v>3476075.92</v>
      </c>
      <c r="G516" s="120">
        <f t="shared" si="158"/>
        <v>98.892629302987203</v>
      </c>
      <c r="H516" s="120">
        <f t="shared" si="159"/>
        <v>100</v>
      </c>
      <c r="I516" s="120">
        <f t="shared" si="160"/>
        <v>48.261239525766094</v>
      </c>
      <c r="J516" s="14">
        <v>7202624.6200000001</v>
      </c>
    </row>
    <row r="517" spans="1:10" ht="12.75" customHeight="1" x14ac:dyDescent="0.2">
      <c r="A517" s="132"/>
      <c r="B517" s="183" t="s">
        <v>305</v>
      </c>
      <c r="C517" s="126">
        <v>2535000</v>
      </c>
      <c r="D517" s="126">
        <f>2535000+35940-140000</f>
        <v>2430940</v>
      </c>
      <c r="E517" s="127">
        <v>2430940</v>
      </c>
      <c r="F517" s="127"/>
      <c r="G517" s="126">
        <f t="shared" si="158"/>
        <v>95.895069033530561</v>
      </c>
      <c r="H517" s="126">
        <f t="shared" si="159"/>
        <v>100</v>
      </c>
      <c r="I517" s="126">
        <f t="shared" si="160"/>
        <v>81.998239628732478</v>
      </c>
      <c r="J517" s="14">
        <v>2964624.62</v>
      </c>
    </row>
    <row r="518" spans="1:10" ht="27" customHeight="1" x14ac:dyDescent="0.2">
      <c r="A518" s="132"/>
      <c r="B518" s="183" t="s">
        <v>965</v>
      </c>
      <c r="C518" s="126">
        <v>980000</v>
      </c>
      <c r="D518" s="126">
        <f>980000+65135.92</f>
        <v>1045135.92</v>
      </c>
      <c r="E518" s="127">
        <v>1045135.92</v>
      </c>
      <c r="F518" s="127"/>
      <c r="G518" s="126">
        <f t="shared" si="158"/>
        <v>106.64652244897958</v>
      </c>
      <c r="H518" s="126">
        <f t="shared" si="159"/>
        <v>100</v>
      </c>
      <c r="I518" s="126">
        <f t="shared" si="160"/>
        <v>93.367976536864845</v>
      </c>
      <c r="J518" s="6">
        <v>1119373</v>
      </c>
    </row>
    <row r="519" spans="1:10" ht="12.75" customHeight="1" x14ac:dyDescent="0.2">
      <c r="A519" s="132"/>
      <c r="B519" s="183"/>
      <c r="C519" s="126"/>
      <c r="D519" s="126"/>
      <c r="E519" s="127"/>
      <c r="F519" s="127"/>
      <c r="G519" s="126"/>
      <c r="H519" s="126"/>
      <c r="I519" s="126"/>
      <c r="J519" s="14"/>
    </row>
    <row r="520" spans="1:10" ht="12.75" customHeight="1" x14ac:dyDescent="0.2">
      <c r="A520" s="132"/>
      <c r="B520" s="183" t="s">
        <v>303</v>
      </c>
      <c r="C520" s="551">
        <f>SUM(C521:C523)</f>
        <v>6679000</v>
      </c>
      <c r="D520" s="551">
        <f>SUM(D521:D523)</f>
        <v>6782739.8399999999</v>
      </c>
      <c r="E520" s="122">
        <v>6782739.8399999999</v>
      </c>
      <c r="F520" s="127">
        <f>SUM(E521:E523)</f>
        <v>6782739.8399999999</v>
      </c>
      <c r="G520" s="120">
        <f t="shared" si="158"/>
        <v>101.55322413534959</v>
      </c>
      <c r="H520" s="120">
        <f t="shared" si="159"/>
        <v>100</v>
      </c>
      <c r="I520" s="120">
        <f>E520/J520*100</f>
        <v>289.73685775309696</v>
      </c>
      <c r="J520" s="6">
        <v>2341000</v>
      </c>
    </row>
    <row r="521" spans="1:10" ht="12.75" customHeight="1" x14ac:dyDescent="0.2">
      <c r="A521" s="132"/>
      <c r="B521" s="183" t="s">
        <v>302</v>
      </c>
      <c r="C521" s="130">
        <v>1787000</v>
      </c>
      <c r="D521" s="130">
        <f>1787000+(70381.36+398827.64)+27775</f>
        <v>2283984</v>
      </c>
      <c r="E521" s="195">
        <v>2283984</v>
      </c>
      <c r="F521" s="195"/>
      <c r="G521" s="126">
        <f t="shared" si="158"/>
        <v>127.81108002238388</v>
      </c>
      <c r="H521" s="126">
        <f t="shared" si="159"/>
        <v>100</v>
      </c>
      <c r="I521" s="126">
        <f t="shared" ref="I521:I531" si="161">E521/J521*100</f>
        <v>125.90871003307606</v>
      </c>
      <c r="J521" s="14">
        <v>1814000</v>
      </c>
    </row>
    <row r="522" spans="1:10" ht="37.5" customHeight="1" x14ac:dyDescent="0.2">
      <c r="A522" s="132"/>
      <c r="B522" s="183" t="s">
        <v>301</v>
      </c>
      <c r="C522" s="126">
        <f>+(368+237+417+210+260+120)*1000</f>
        <v>1612000</v>
      </c>
      <c r="D522" s="126">
        <f>((368+237+417+210+260+120)*1000)+117865+18509.29</f>
        <v>1748374.29</v>
      </c>
      <c r="E522" s="195">
        <v>1748374.29</v>
      </c>
      <c r="F522" s="195"/>
      <c r="G522" s="126">
        <f t="shared" si="158"/>
        <v>108.4599435483871</v>
      </c>
      <c r="H522" s="126">
        <f t="shared" si="159"/>
        <v>100</v>
      </c>
      <c r="I522" s="126">
        <f t="shared" si="161"/>
        <v>457.6896047120419</v>
      </c>
      <c r="J522" s="6">
        <v>382000</v>
      </c>
    </row>
    <row r="523" spans="1:10" ht="23.25" customHeight="1" x14ac:dyDescent="0.2">
      <c r="A523" s="132"/>
      <c r="B523" s="183" t="s">
        <v>964</v>
      </c>
      <c r="C523" s="126">
        <v>3280000</v>
      </c>
      <c r="D523" s="126">
        <f>3280000+(-117865-411753.45)</f>
        <v>2750381.55</v>
      </c>
      <c r="E523" s="127">
        <v>2750381.55</v>
      </c>
      <c r="F523" s="127"/>
      <c r="G523" s="126">
        <f t="shared" si="158"/>
        <v>83.853096036585356</v>
      </c>
      <c r="H523" s="126">
        <f t="shared" si="159"/>
        <v>100</v>
      </c>
      <c r="I523" s="126">
        <v>0</v>
      </c>
      <c r="J523" s="6">
        <v>0</v>
      </c>
    </row>
    <row r="524" spans="1:10" ht="12.75" customHeight="1" x14ac:dyDescent="0.2">
      <c r="A524" s="132"/>
      <c r="B524" s="183"/>
      <c r="C524" s="126"/>
      <c r="D524" s="126"/>
      <c r="E524" s="495"/>
      <c r="F524" s="495"/>
      <c r="G524" s="126"/>
      <c r="H524" s="126"/>
      <c r="I524" s="126"/>
      <c r="J524" s="14"/>
    </row>
    <row r="525" spans="1:10" x14ac:dyDescent="0.2">
      <c r="A525" s="124">
        <v>3113</v>
      </c>
      <c r="B525" s="203" t="s">
        <v>299</v>
      </c>
      <c r="C525" s="122">
        <f>SUM(C526:C529)</f>
        <v>41100771.5</v>
      </c>
      <c r="D525" s="122">
        <f>SUM(D526:D529)</f>
        <v>48578560.140000001</v>
      </c>
      <c r="E525" s="121">
        <v>48566068.189999998</v>
      </c>
      <c r="F525" s="130">
        <f>SUM(E526:E529)</f>
        <v>48566067.5</v>
      </c>
      <c r="G525" s="120">
        <f t="shared" si="158"/>
        <v>118.16339795470749</v>
      </c>
      <c r="H525" s="120">
        <f t="shared" si="159"/>
        <v>99.974285055044859</v>
      </c>
      <c r="I525" s="120">
        <f t="shared" si="161"/>
        <v>127.14233164075675</v>
      </c>
      <c r="J525" s="6">
        <v>38198189.039999999</v>
      </c>
    </row>
    <row r="526" spans="1:10" ht="12.75" customHeight="1" x14ac:dyDescent="0.2">
      <c r="A526" s="124"/>
      <c r="B526" s="128" t="s">
        <v>298</v>
      </c>
      <c r="C526" s="126">
        <v>400000</v>
      </c>
      <c r="D526" s="126">
        <f>400000-39930-174549.84-18509.29-65135.92-25838</f>
        <v>76036.95</v>
      </c>
      <c r="E526" s="130">
        <v>63545</v>
      </c>
      <c r="F526" s="10"/>
      <c r="G526" s="126">
        <f t="shared" si="158"/>
        <v>15.886249999999999</v>
      </c>
      <c r="H526" s="126">
        <f t="shared" si="159"/>
        <v>83.571211101970817</v>
      </c>
      <c r="I526" s="126">
        <f t="shared" si="161"/>
        <v>56.399218958018992</v>
      </c>
      <c r="J526" s="6">
        <v>112670</v>
      </c>
    </row>
    <row r="527" spans="1:10" ht="12.75" customHeight="1" x14ac:dyDescent="0.2">
      <c r="A527" s="132"/>
      <c r="B527" s="183" t="s">
        <v>297</v>
      </c>
      <c r="C527" s="204">
        <f>SUM(C537,C542,C532,C547)</f>
        <v>18701000</v>
      </c>
      <c r="D527" s="204">
        <f>SUM(D537,D542,D532,D547)</f>
        <v>29228572.450000003</v>
      </c>
      <c r="E527" s="130">
        <f>SUM(E532,E537,E542,E547)</f>
        <v>29228572.560000002</v>
      </c>
      <c r="F527" s="130"/>
      <c r="G527" s="126">
        <f t="shared" si="158"/>
        <v>156.2941690818673</v>
      </c>
      <c r="H527" s="126">
        <f t="shared" si="159"/>
        <v>100.00000037634406</v>
      </c>
      <c r="I527" s="126">
        <f t="shared" si="161"/>
        <v>121.28184568876608</v>
      </c>
      <c r="J527" s="14">
        <v>24099709.559999999</v>
      </c>
    </row>
    <row r="528" spans="1:10" ht="12.75" customHeight="1" x14ac:dyDescent="0.2">
      <c r="A528" s="132"/>
      <c r="B528" s="183" t="s">
        <v>296</v>
      </c>
      <c r="C528" s="204">
        <f>SUM(C538,C543,C533,C548)</f>
        <v>10054000</v>
      </c>
      <c r="D528" s="204">
        <f>SUM(D538,D543,D533,D548)</f>
        <v>7014652.9199999999</v>
      </c>
      <c r="E528" s="130">
        <f>SUM(E533,E538,E543,E548)</f>
        <v>7014652.9199999999</v>
      </c>
      <c r="F528" s="130"/>
      <c r="G528" s="126">
        <f t="shared" si="158"/>
        <v>69.769772428884025</v>
      </c>
      <c r="H528" s="126">
        <f t="shared" si="159"/>
        <v>100</v>
      </c>
      <c r="I528" s="126">
        <f t="shared" si="161"/>
        <v>77.432971851197706</v>
      </c>
      <c r="J528" s="6">
        <v>9059000</v>
      </c>
    </row>
    <row r="529" spans="1:10" ht="12.75" customHeight="1" x14ac:dyDescent="0.2">
      <c r="A529" s="132"/>
      <c r="B529" s="183" t="s">
        <v>295</v>
      </c>
      <c r="C529" s="207">
        <f>C534+C539+C544+C549</f>
        <v>11945771.5</v>
      </c>
      <c r="D529" s="207">
        <f>D534+D539+D544+D549</f>
        <v>12259297.819999998</v>
      </c>
      <c r="E529" s="130">
        <f>SUM(E534,E539,E544,E549)</f>
        <v>12259297.02</v>
      </c>
      <c r="F529" s="130"/>
      <c r="G529" s="126">
        <f t="shared" si="158"/>
        <v>102.62457322241599</v>
      </c>
      <c r="H529" s="126">
        <f>E529/D529*100</f>
        <v>99.999993474340769</v>
      </c>
      <c r="I529" s="126">
        <f t="shared" si="161"/>
        <v>248.82882020601329</v>
      </c>
      <c r="J529" s="14">
        <v>4926799.4800000004</v>
      </c>
    </row>
    <row r="530" spans="1:10" s="3" customFormat="1" ht="12.75" customHeight="1" x14ac:dyDescent="0.2">
      <c r="A530" s="132"/>
      <c r="B530" s="183"/>
      <c r="C530" s="182"/>
      <c r="D530" s="182"/>
      <c r="E530" s="130"/>
      <c r="F530" s="130"/>
      <c r="G530" s="126"/>
      <c r="H530" s="126"/>
      <c r="I530" s="126"/>
      <c r="J530" s="6"/>
    </row>
    <row r="531" spans="1:10" x14ac:dyDescent="0.2">
      <c r="A531" s="132"/>
      <c r="B531" s="183" t="s">
        <v>294</v>
      </c>
      <c r="C531" s="205">
        <f>SUM(C532:C534)</f>
        <v>11137000</v>
      </c>
      <c r="D531" s="205">
        <f>SUM(D532:D534)</f>
        <v>17580602.809999999</v>
      </c>
      <c r="E531" s="122">
        <v>17580602.809999999</v>
      </c>
      <c r="F531" s="127">
        <f>SUM(E532:E534)</f>
        <v>17580602.009999998</v>
      </c>
      <c r="G531" s="120">
        <f t="shared" si="158"/>
        <v>157.85761704229145</v>
      </c>
      <c r="H531" s="120">
        <f t="shared" ref="H531" si="162">E531/D531*100</f>
        <v>100</v>
      </c>
      <c r="I531" s="120">
        <f t="shared" si="161"/>
        <v>221.23272182766942</v>
      </c>
      <c r="J531" s="14">
        <v>7946655.75</v>
      </c>
    </row>
    <row r="532" spans="1:10" ht="12.75" customHeight="1" x14ac:dyDescent="0.2">
      <c r="A532" s="132"/>
      <c r="B532" s="183" t="s">
        <v>293</v>
      </c>
      <c r="C532" s="126">
        <v>6333000</v>
      </c>
      <c r="D532" s="126">
        <f>6333000+7932-300000+(205074.76+1162090.24)+(157016.39+2669278.68)+(4839.58+27424.29)+1029607.24+1014582.83</f>
        <v>12310846.01</v>
      </c>
      <c r="E532" s="130">
        <v>12310846.01</v>
      </c>
      <c r="F532" s="130"/>
      <c r="G532" s="126">
        <f t="shared" si="158"/>
        <v>194.39201026369807</v>
      </c>
      <c r="H532" s="126">
        <f>E532/D532*100</f>
        <v>100</v>
      </c>
      <c r="I532" s="126">
        <f>E532/J532*100</f>
        <v>182.4733092391738</v>
      </c>
      <c r="J532" s="14">
        <v>6746655.75</v>
      </c>
    </row>
    <row r="533" spans="1:10" ht="24.75" x14ac:dyDescent="0.2">
      <c r="A533" s="132"/>
      <c r="B533" s="183" t="s">
        <v>292</v>
      </c>
      <c r="C533" s="126">
        <v>1178000</v>
      </c>
      <c r="D533" s="126">
        <f>1178000+5000-467110</f>
        <v>715890</v>
      </c>
      <c r="E533" s="117">
        <v>715890</v>
      </c>
      <c r="F533" s="117"/>
      <c r="G533" s="126">
        <f t="shared" si="158"/>
        <v>60.771646859083198</v>
      </c>
      <c r="H533" s="151">
        <f>E533/D533*100</f>
        <v>100</v>
      </c>
      <c r="I533" s="126">
        <f t="shared" ref="I533:I534" si="163">E533/J533*100</f>
        <v>255.67500000000001</v>
      </c>
      <c r="J533" s="6">
        <v>280000</v>
      </c>
    </row>
    <row r="534" spans="1:10" ht="44.25" customHeight="1" x14ac:dyDescent="0.2">
      <c r="A534" s="132"/>
      <c r="B534" s="183" t="s">
        <v>291</v>
      </c>
      <c r="C534" s="126">
        <f>(150+3000+300+70+192+85+129-300)*1000</f>
        <v>3626000</v>
      </c>
      <c r="D534" s="126">
        <f>((150+3000+300+70+192+85+129-300)*1000)+(-334494.1+711945.8)+(142709.29+2426057.88)-1029607.24+(25838-1014582.83)</f>
        <v>4553866.8</v>
      </c>
      <c r="E534" s="130">
        <v>4553866</v>
      </c>
      <c r="F534" s="130"/>
      <c r="G534" s="126">
        <f t="shared" si="158"/>
        <v>125.5892443463872</v>
      </c>
      <c r="H534" s="130">
        <f>E534/D534*100</f>
        <v>99.999982432512084</v>
      </c>
      <c r="I534" s="126">
        <f t="shared" si="163"/>
        <v>494.98543478260871</v>
      </c>
      <c r="J534" s="6">
        <v>920000</v>
      </c>
    </row>
    <row r="535" spans="1:10" ht="12.75" customHeight="1" x14ac:dyDescent="0.2">
      <c r="A535" s="132"/>
      <c r="B535" s="183"/>
      <c r="C535" s="130"/>
      <c r="D535" s="130"/>
      <c r="E535" s="133"/>
      <c r="F535" s="133"/>
      <c r="G535" s="126"/>
      <c r="H535" s="120"/>
      <c r="I535" s="120"/>
      <c r="J535" s="14"/>
    </row>
    <row r="536" spans="1:10" x14ac:dyDescent="0.2">
      <c r="A536" s="132"/>
      <c r="B536" s="183" t="s">
        <v>290</v>
      </c>
      <c r="C536" s="205">
        <f>SUM(C537:C539)</f>
        <v>10355771.5</v>
      </c>
      <c r="D536" s="205">
        <f>SUM(D537:D539)</f>
        <v>12186930.870000001</v>
      </c>
      <c r="E536" s="122">
        <v>12186930.869999999</v>
      </c>
      <c r="F536" s="127">
        <f>SUM(E537:E539)</f>
        <v>12186930.98</v>
      </c>
      <c r="G536" s="120">
        <f t="shared" si="158"/>
        <v>117.6825007195263</v>
      </c>
      <c r="H536" s="120">
        <f t="shared" ref="H536:H544" si="164">E536/D536*100</f>
        <v>99.999999999999986</v>
      </c>
      <c r="I536" s="120">
        <f t="shared" ref="I536:I544" si="165">E536/J536*100</f>
        <v>101.8777270895151</v>
      </c>
      <c r="J536" s="14">
        <v>11962311.310000001</v>
      </c>
    </row>
    <row r="537" spans="1:10" ht="12.75" customHeight="1" x14ac:dyDescent="0.2">
      <c r="A537" s="132"/>
      <c r="B537" s="183" t="s">
        <v>289</v>
      </c>
      <c r="C537" s="126">
        <v>3940000</v>
      </c>
      <c r="D537" s="126">
        <f>3940000-30000+(2670.26+15131.44)+(-24020+1094770.73+126901.23+39930)+(63450.62+1078660.51)</f>
        <v>6307494.79</v>
      </c>
      <c r="E537" s="130">
        <v>6307494.9000000004</v>
      </c>
      <c r="F537" s="130"/>
      <c r="G537" s="126">
        <f t="shared" si="158"/>
        <v>160.08870304568529</v>
      </c>
      <c r="H537" s="126">
        <f t="shared" si="164"/>
        <v>100.00000174395704</v>
      </c>
      <c r="I537" s="126">
        <f t="shared" si="165"/>
        <v>76.44795025553853</v>
      </c>
      <c r="J537" s="14">
        <v>8250705.0599999996</v>
      </c>
    </row>
    <row r="538" spans="1:10" ht="24.75" customHeight="1" x14ac:dyDescent="0.2">
      <c r="A538" s="132"/>
      <c r="B538" s="183" t="s">
        <v>288</v>
      </c>
      <c r="C538" s="126">
        <v>576000</v>
      </c>
      <c r="D538" s="126">
        <f>576000-180000</f>
        <v>396000</v>
      </c>
      <c r="E538" s="130">
        <v>396000</v>
      </c>
      <c r="F538" s="130"/>
      <c r="G538" s="126">
        <f t="shared" si="158"/>
        <v>68.75</v>
      </c>
      <c r="H538" s="126">
        <f t="shared" si="164"/>
        <v>100</v>
      </c>
      <c r="I538" s="126">
        <v>0</v>
      </c>
      <c r="J538" s="6">
        <v>0</v>
      </c>
    </row>
    <row r="539" spans="1:10" ht="24.75" x14ac:dyDescent="0.2">
      <c r="A539" s="132"/>
      <c r="B539" s="183" t="s">
        <v>287</v>
      </c>
      <c r="C539" s="126">
        <v>5839771.5</v>
      </c>
      <c r="D539" s="126">
        <f>5839771.5+180000+(-2112330.91-1094770.73-126901.23)+(155438.3+2642451.15-222)</f>
        <v>5483436.0800000001</v>
      </c>
      <c r="E539" s="130">
        <v>5483436.0800000001</v>
      </c>
      <c r="F539" s="130"/>
      <c r="G539" s="126">
        <f t="shared" si="158"/>
        <v>93.898127349674553</v>
      </c>
      <c r="H539" s="126">
        <f t="shared" si="164"/>
        <v>100</v>
      </c>
      <c r="I539" s="126">
        <f t="shared" si="165"/>
        <v>147.73754839969894</v>
      </c>
      <c r="J539" s="6">
        <v>3711606.25</v>
      </c>
    </row>
    <row r="540" spans="1:10" ht="12.75" customHeight="1" x14ac:dyDescent="0.2">
      <c r="A540" s="132"/>
      <c r="B540" s="183"/>
      <c r="C540" s="130"/>
      <c r="D540" s="130"/>
      <c r="E540" s="130"/>
      <c r="F540" s="130"/>
      <c r="G540" s="126"/>
      <c r="H540" s="126"/>
      <c r="I540" s="126"/>
      <c r="J540" s="14"/>
    </row>
    <row r="541" spans="1:10" ht="12.75" customHeight="1" x14ac:dyDescent="0.2">
      <c r="A541" s="132"/>
      <c r="B541" s="183" t="s">
        <v>286</v>
      </c>
      <c r="C541" s="122">
        <f>SUM(C542:C544)</f>
        <v>12515000</v>
      </c>
      <c r="D541" s="122">
        <f>SUM(D542:D544)</f>
        <v>12074207.51</v>
      </c>
      <c r="E541" s="122">
        <v>12074207.51</v>
      </c>
      <c r="F541" s="127">
        <f>SUM(E542:E544)</f>
        <v>12074207.51</v>
      </c>
      <c r="G541" s="120">
        <f t="shared" si="158"/>
        <v>96.477886616060729</v>
      </c>
      <c r="H541" s="120">
        <f t="shared" si="164"/>
        <v>100</v>
      </c>
      <c r="I541" s="120">
        <f t="shared" si="165"/>
        <v>248.20851705343898</v>
      </c>
      <c r="J541" s="14">
        <v>4864541.9800000004</v>
      </c>
    </row>
    <row r="542" spans="1:10" ht="12.75" customHeight="1" x14ac:dyDescent="0.2">
      <c r="A542" s="132"/>
      <c r="B542" s="183" t="s">
        <v>285</v>
      </c>
      <c r="C542" s="126">
        <v>3375000</v>
      </c>
      <c r="D542" s="126">
        <f>3375000+(68450.27+1163654.63)-80000+(4369.37+24759.73)-88468.35</f>
        <v>4467765.6500000004</v>
      </c>
      <c r="E542" s="117">
        <v>4467765.6500000004</v>
      </c>
      <c r="F542" s="117"/>
      <c r="G542" s="126">
        <f t="shared" si="158"/>
        <v>132.3782414814815</v>
      </c>
      <c r="H542" s="126">
        <f t="shared" si="164"/>
        <v>100</v>
      </c>
      <c r="I542" s="126">
        <f t="shared" si="165"/>
        <v>101.09556639991357</v>
      </c>
      <c r="J542" s="14">
        <v>4419348.75</v>
      </c>
    </row>
    <row r="543" spans="1:10" ht="29.25" customHeight="1" x14ac:dyDescent="0.2">
      <c r="A543" s="132"/>
      <c r="B543" s="183" t="s">
        <v>284</v>
      </c>
      <c r="C543" s="126">
        <f>(4600+2600+500+400)*1000</f>
        <v>8100000</v>
      </c>
      <c r="D543" s="126">
        <f>((4600+2600+500+400)*1000)-2000000-395556.08</f>
        <v>5704443.9199999999</v>
      </c>
      <c r="E543" s="711">
        <v>5704443.9199999999</v>
      </c>
      <c r="F543" s="487"/>
      <c r="G543" s="126">
        <f t="shared" si="158"/>
        <v>70.42523358024691</v>
      </c>
      <c r="H543" s="126">
        <f t="shared" si="164"/>
        <v>100</v>
      </c>
      <c r="I543" s="126">
        <f t="shared" si="165"/>
        <v>3802.9626133333331</v>
      </c>
      <c r="J543" s="6">
        <v>150000</v>
      </c>
    </row>
    <row r="544" spans="1:10" ht="24.75" x14ac:dyDescent="0.2">
      <c r="A544" s="132"/>
      <c r="B544" s="183" t="s">
        <v>283</v>
      </c>
      <c r="C544" s="126">
        <f>+(600+600-160)*1000</f>
        <v>1040000</v>
      </c>
      <c r="D544" s="126">
        <f>((600+600-160)*1000)+(51518.6+875816.2)-65336.86</f>
        <v>1901997.9399999997</v>
      </c>
      <c r="E544" s="133">
        <v>1901997.94</v>
      </c>
      <c r="F544" s="133"/>
      <c r="G544" s="126">
        <f t="shared" si="158"/>
        <v>182.8844173076923</v>
      </c>
      <c r="H544" s="126">
        <f t="shared" si="164"/>
        <v>100.00000000000003</v>
      </c>
      <c r="I544" s="126">
        <f t="shared" si="165"/>
        <v>644.32302190670157</v>
      </c>
      <c r="J544" s="6">
        <v>295193.23</v>
      </c>
    </row>
    <row r="545" spans="1:10" ht="12.75" customHeight="1" x14ac:dyDescent="0.2">
      <c r="A545" s="132"/>
      <c r="B545" s="183"/>
      <c r="C545" s="120"/>
      <c r="D545" s="120"/>
      <c r="E545" s="130"/>
      <c r="F545" s="130"/>
      <c r="G545" s="126"/>
      <c r="H545" s="126"/>
      <c r="I545" s="126"/>
      <c r="J545" s="6"/>
    </row>
    <row r="546" spans="1:10" x14ac:dyDescent="0.2">
      <c r="A546" s="132"/>
      <c r="B546" s="183" t="s">
        <v>282</v>
      </c>
      <c r="C546" s="122">
        <f>SUM(C547:C549)</f>
        <v>6693000</v>
      </c>
      <c r="D546" s="122">
        <f>SUM(D547:D549)</f>
        <v>6660782</v>
      </c>
      <c r="E546" s="134">
        <v>6660782</v>
      </c>
      <c r="F546" s="117">
        <f>SUM(E547:E549)</f>
        <v>6660782</v>
      </c>
      <c r="G546" s="120">
        <f t="shared" si="158"/>
        <v>99.518631405946508</v>
      </c>
      <c r="H546" s="120">
        <f t="shared" ref="H546" si="166">E546/D546*100</f>
        <v>100</v>
      </c>
      <c r="I546" s="120">
        <f t="shared" ref="I546" si="167">E546/J546*100</f>
        <v>50.035922475961534</v>
      </c>
      <c r="J546" s="6">
        <v>13312000</v>
      </c>
    </row>
    <row r="547" spans="1:10" ht="12.75" customHeight="1" x14ac:dyDescent="0.2">
      <c r="A547" s="132"/>
      <c r="B547" s="183" t="s">
        <v>281</v>
      </c>
      <c r="C547" s="126">
        <v>5053000</v>
      </c>
      <c r="D547" s="126">
        <f>5053000-40000+(169419.91+960046.09)</f>
        <v>6142466</v>
      </c>
      <c r="E547" s="130">
        <v>6142466</v>
      </c>
      <c r="F547" s="130"/>
      <c r="G547" s="126">
        <f t="shared" si="158"/>
        <v>121.56077577676628</v>
      </c>
      <c r="H547" s="130">
        <f>E547/D547*100</f>
        <v>100</v>
      </c>
      <c r="I547" s="130">
        <f>E547/J547*100</f>
        <v>131.16519325218877</v>
      </c>
      <c r="J547" s="14">
        <v>4683000</v>
      </c>
    </row>
    <row r="548" spans="1:10" x14ac:dyDescent="0.2">
      <c r="A548" s="132"/>
      <c r="B548" s="183" t="s">
        <v>280</v>
      </c>
      <c r="C548" s="126">
        <v>200000</v>
      </c>
      <c r="D548" s="126">
        <f>200000-1681</f>
        <v>198319</v>
      </c>
      <c r="E548" s="126">
        <v>198319</v>
      </c>
      <c r="F548" s="126"/>
      <c r="G548" s="126">
        <f t="shared" si="158"/>
        <v>99.159499999999994</v>
      </c>
      <c r="H548" s="126">
        <f>E548/D548*100</f>
        <v>100</v>
      </c>
      <c r="I548" s="130">
        <f>E548/J548*100</f>
        <v>2.2982848534013214</v>
      </c>
      <c r="J548" s="14">
        <v>8629000</v>
      </c>
    </row>
    <row r="549" spans="1:10" ht="12.75" customHeight="1" x14ac:dyDescent="0.2">
      <c r="A549" s="132"/>
      <c r="B549" s="183" t="s">
        <v>279</v>
      </c>
      <c r="C549" s="126">
        <f>(320+1250-130)*1000</f>
        <v>1440000</v>
      </c>
      <c r="D549" s="126">
        <f>((320+1250-130)*1000)+(-3-1120000)</f>
        <v>319997</v>
      </c>
      <c r="E549" s="130">
        <v>319997</v>
      </c>
      <c r="F549" s="130"/>
      <c r="G549" s="126">
        <f t="shared" si="158"/>
        <v>22.222013888888888</v>
      </c>
      <c r="H549" s="126">
        <f>E549/D549*100</f>
        <v>100</v>
      </c>
      <c r="I549" s="126">
        <v>0</v>
      </c>
      <c r="J549" s="6">
        <v>0</v>
      </c>
    </row>
    <row r="550" spans="1:10" ht="12.75" customHeight="1" x14ac:dyDescent="0.2">
      <c r="A550" s="132"/>
      <c r="B550" s="183"/>
      <c r="C550" s="126"/>
      <c r="D550" s="126"/>
      <c r="E550" s="117"/>
      <c r="F550" s="117"/>
      <c r="G550" s="126"/>
      <c r="H550" s="151"/>
      <c r="I550" s="151"/>
      <c r="J550" s="6"/>
    </row>
    <row r="551" spans="1:10" x14ac:dyDescent="0.2">
      <c r="A551" s="124">
        <v>3233</v>
      </c>
      <c r="B551" s="203" t="s">
        <v>278</v>
      </c>
      <c r="C551" s="122">
        <f>C552</f>
        <v>21896811.300000001</v>
      </c>
      <c r="D551" s="122">
        <f>D552</f>
        <v>4878201.4500000011</v>
      </c>
      <c r="E551" s="122">
        <v>4878201.45</v>
      </c>
      <c r="F551" s="127"/>
      <c r="G551" s="120">
        <f t="shared" si="158"/>
        <v>22.278136223423544</v>
      </c>
      <c r="H551" s="121">
        <f>E551/D551*100</f>
        <v>99.999999999999972</v>
      </c>
      <c r="I551" s="121">
        <f>E551/J551*100</f>
        <v>302.71917533219852</v>
      </c>
      <c r="J551" s="14">
        <v>1611461</v>
      </c>
    </row>
    <row r="552" spans="1:10" ht="12.75" customHeight="1" x14ac:dyDescent="0.2">
      <c r="A552" s="124"/>
      <c r="B552" s="183" t="s">
        <v>277</v>
      </c>
      <c r="C552" s="204">
        <f>SUM(C553:C555)</f>
        <v>21896811.300000001</v>
      </c>
      <c r="D552" s="204">
        <f>SUM(D553:D555)</f>
        <v>4878201.4500000011</v>
      </c>
      <c r="E552" s="126">
        <v>4878201.45</v>
      </c>
      <c r="F552" s="126">
        <f>SUM(E553:E555)</f>
        <v>4878201.45</v>
      </c>
      <c r="G552" s="126">
        <f t="shared" si="158"/>
        <v>22.278136223423544</v>
      </c>
      <c r="H552" s="126">
        <f t="shared" ref="H552:H564" si="168">E552/D552*100</f>
        <v>99.999999999999972</v>
      </c>
      <c r="I552" s="126">
        <f t="shared" ref="I552:I564" si="169">E552/J552*100</f>
        <v>302.71917533219852</v>
      </c>
      <c r="J552" s="6">
        <v>1611461</v>
      </c>
    </row>
    <row r="553" spans="1:10" ht="12.75" customHeight="1" x14ac:dyDescent="0.2">
      <c r="A553" s="124"/>
      <c r="B553" s="183" t="s">
        <v>276</v>
      </c>
      <c r="C553" s="126">
        <v>1512000</v>
      </c>
      <c r="D553" s="126">
        <f>1512000-40000+62300+106000-6000-100000-7892.36+15000</f>
        <v>1541407.64</v>
      </c>
      <c r="E553" s="127">
        <v>1541407.64</v>
      </c>
      <c r="F553" s="127"/>
      <c r="G553" s="126">
        <f t="shared" si="158"/>
        <v>101.94494973544973</v>
      </c>
      <c r="H553" s="126">
        <f t="shared" si="168"/>
        <v>100</v>
      </c>
      <c r="I553" s="126">
        <f t="shared" si="169"/>
        <v>121.66375008725743</v>
      </c>
      <c r="J553" s="6">
        <v>1266940.76</v>
      </c>
    </row>
    <row r="554" spans="1:10" ht="12.75" customHeight="1" x14ac:dyDescent="0.2">
      <c r="A554" s="124"/>
      <c r="B554" s="183" t="s">
        <v>275</v>
      </c>
      <c r="C554" s="126">
        <v>150000</v>
      </c>
      <c r="D554" s="126">
        <f>150000+174549.84</f>
        <v>324549.83999999997</v>
      </c>
      <c r="E554" s="130">
        <v>324549.84000000003</v>
      </c>
      <c r="F554" s="130"/>
      <c r="G554" s="126">
        <f t="shared" si="158"/>
        <v>216.36656000000002</v>
      </c>
      <c r="H554" s="126">
        <f t="shared" si="168"/>
        <v>100.00000000000003</v>
      </c>
      <c r="I554" s="126">
        <v>0</v>
      </c>
      <c r="J554" s="6">
        <v>0</v>
      </c>
    </row>
    <row r="555" spans="1:10" ht="24.75" x14ac:dyDescent="0.2">
      <c r="A555" s="124"/>
      <c r="B555" s="183" t="s">
        <v>274</v>
      </c>
      <c r="C555" s="126">
        <v>20234811.300000001</v>
      </c>
      <c r="D555" s="126">
        <f>20234811.3-12650000-4572567.33</f>
        <v>3012243.9700000007</v>
      </c>
      <c r="E555" s="130">
        <v>3012243.97</v>
      </c>
      <c r="F555" s="130"/>
      <c r="G555" s="126">
        <f t="shared" si="158"/>
        <v>14.886444579792055</v>
      </c>
      <c r="H555" s="126">
        <f t="shared" si="168"/>
        <v>99.999999999999986</v>
      </c>
      <c r="I555" s="126">
        <f t="shared" si="169"/>
        <v>874.33004516657729</v>
      </c>
      <c r="J555" s="6">
        <v>344520.24</v>
      </c>
    </row>
    <row r="556" spans="1:10" s="3" customFormat="1" ht="12.75" customHeight="1" thickBot="1" x14ac:dyDescent="0.25">
      <c r="A556" s="124">
        <v>3419</v>
      </c>
      <c r="B556" s="203" t="s">
        <v>273</v>
      </c>
      <c r="C556" s="120">
        <v>80000</v>
      </c>
      <c r="D556" s="120">
        <f>80000-80000</f>
        <v>0</v>
      </c>
      <c r="E556" s="521">
        <v>0</v>
      </c>
      <c r="F556" s="152"/>
      <c r="G556" s="120">
        <f t="shared" si="158"/>
        <v>0</v>
      </c>
      <c r="H556" s="486">
        <v>0</v>
      </c>
      <c r="I556" s="486">
        <v>0</v>
      </c>
      <c r="J556" s="6">
        <v>0</v>
      </c>
    </row>
    <row r="557" spans="1:10" s="3" customFormat="1" ht="16.5" thickBot="1" x14ac:dyDescent="0.3">
      <c r="A557" s="140"/>
      <c r="B557" s="202" t="s">
        <v>272</v>
      </c>
      <c r="C557" s="157">
        <f>SUM(C558,C561,C564,C568,C571,C578)</f>
        <v>63946000</v>
      </c>
      <c r="D557" s="157">
        <f>SUM(D558,D561,D564,D568,D571,D578)</f>
        <v>53222851.680000007</v>
      </c>
      <c r="E557" s="479">
        <v>52269026.729999997</v>
      </c>
      <c r="F557" s="317">
        <f>SUM(E558,E561,E564,E568,E571,E578)</f>
        <v>52269026.729999997</v>
      </c>
      <c r="G557" s="479">
        <f>E557/C557*100</f>
        <v>81.73932181840928</v>
      </c>
      <c r="H557" s="479">
        <f t="shared" si="168"/>
        <v>98.207865757109673</v>
      </c>
      <c r="I557" s="479">
        <f t="shared" si="169"/>
        <v>135.74800549522521</v>
      </c>
      <c r="J557" s="14">
        <v>38504452.82</v>
      </c>
    </row>
    <row r="558" spans="1:10" s="3" customFormat="1" x14ac:dyDescent="0.2">
      <c r="A558" s="200">
        <v>3311</v>
      </c>
      <c r="B558" s="199" t="s">
        <v>271</v>
      </c>
      <c r="C558" s="136">
        <f>SUM(C559:C560)</f>
        <v>35844000</v>
      </c>
      <c r="D558" s="136">
        <f>SUM(D559:D560)</f>
        <v>22747358.420000002</v>
      </c>
      <c r="E558" s="136">
        <v>22747358.420000002</v>
      </c>
      <c r="F558" s="133">
        <f>SUM(E559:E560)</f>
        <v>22747358.420000002</v>
      </c>
      <c r="G558" s="120">
        <f t="shared" si="158"/>
        <v>63.462109195402306</v>
      </c>
      <c r="H558" s="120">
        <f t="shared" si="168"/>
        <v>100</v>
      </c>
      <c r="I558" s="120">
        <f t="shared" si="169"/>
        <v>185.12063691797914</v>
      </c>
      <c r="J558" s="6">
        <v>12287856.609999999</v>
      </c>
    </row>
    <row r="559" spans="1:10" s="3" customFormat="1" ht="12.75" customHeight="1" x14ac:dyDescent="0.2">
      <c r="A559" s="191"/>
      <c r="B559" s="190" t="s">
        <v>270</v>
      </c>
      <c r="C559" s="126">
        <v>12044000</v>
      </c>
      <c r="D559" s="126">
        <f>12044000+25236-100000+7406-1200000</f>
        <v>10776642</v>
      </c>
      <c r="E559" s="130">
        <v>10776642</v>
      </c>
      <c r="F559" s="130"/>
      <c r="G559" s="126">
        <f t="shared" si="158"/>
        <v>89.477266688807717</v>
      </c>
      <c r="H559" s="126">
        <f t="shared" si="168"/>
        <v>100</v>
      </c>
      <c r="I559" s="126">
        <f t="shared" si="169"/>
        <v>102.93698133558524</v>
      </c>
      <c r="J559" s="6">
        <v>10469164.59</v>
      </c>
    </row>
    <row r="560" spans="1:10" s="3" customFormat="1" ht="24.75" x14ac:dyDescent="0.2">
      <c r="A560" s="191"/>
      <c r="B560" s="194" t="s">
        <v>269</v>
      </c>
      <c r="C560" s="126">
        <f>+(20000+4000-200)*1000</f>
        <v>23800000</v>
      </c>
      <c r="D560" s="126">
        <f>((20000+4000-200)*1000)-2000000-9406511.28-422772.3</f>
        <v>11970716.42</v>
      </c>
      <c r="E560" s="130">
        <v>11970716.42</v>
      </c>
      <c r="F560" s="130"/>
      <c r="G560" s="126">
        <f t="shared" si="158"/>
        <v>50.297127815126053</v>
      </c>
      <c r="H560" s="126">
        <f t="shared" si="168"/>
        <v>100</v>
      </c>
      <c r="I560" s="126">
        <f t="shared" si="169"/>
        <v>1134.5312318371543</v>
      </c>
      <c r="J560" s="6">
        <v>1055124.45</v>
      </c>
    </row>
    <row r="561" spans="1:10" x14ac:dyDescent="0.2">
      <c r="A561" s="193">
        <v>3319</v>
      </c>
      <c r="B561" s="198" t="s">
        <v>268</v>
      </c>
      <c r="C561" s="121">
        <f>SUM(C562:C563)</f>
        <v>1017000</v>
      </c>
      <c r="D561" s="121">
        <f>SUM(D562:D563)</f>
        <v>917000</v>
      </c>
      <c r="E561" s="121">
        <v>312473.46000000002</v>
      </c>
      <c r="F561" s="130">
        <f>SUM(E562:E563)</f>
        <v>312473.46000000002</v>
      </c>
      <c r="G561" s="120">
        <f t="shared" si="158"/>
        <v>30.725020648967554</v>
      </c>
      <c r="H561" s="120">
        <f t="shared" si="168"/>
        <v>34.075622682660857</v>
      </c>
      <c r="I561" s="120">
        <f t="shared" si="169"/>
        <v>76.44644867767849</v>
      </c>
      <c r="J561" s="6">
        <v>408748.17</v>
      </c>
    </row>
    <row r="562" spans="1:10" ht="12.75" customHeight="1" x14ac:dyDescent="0.2">
      <c r="A562" s="193"/>
      <c r="B562" s="197" t="s">
        <v>267</v>
      </c>
      <c r="C562" s="126">
        <f>417000+5000</f>
        <v>422000</v>
      </c>
      <c r="D562" s="126">
        <f>417000+5000</f>
        <v>422000</v>
      </c>
      <c r="E562" s="130">
        <v>207026.51</v>
      </c>
      <c r="F562" s="130"/>
      <c r="G562" s="126">
        <f t="shared" si="158"/>
        <v>49.058414691943128</v>
      </c>
      <c r="H562" s="126">
        <f t="shared" si="168"/>
        <v>49.058414691943128</v>
      </c>
      <c r="I562" s="126">
        <f t="shared" si="169"/>
        <v>127.07283889055434</v>
      </c>
      <c r="J562" s="6">
        <v>162919.56</v>
      </c>
    </row>
    <row r="563" spans="1:10" ht="24.75" customHeight="1" x14ac:dyDescent="0.2">
      <c r="A563" s="193"/>
      <c r="B563" s="197" t="s">
        <v>266</v>
      </c>
      <c r="C563" s="126">
        <v>595000</v>
      </c>
      <c r="D563" s="126">
        <f>595000-100000</f>
        <v>495000</v>
      </c>
      <c r="E563" s="130">
        <v>105446.95</v>
      </c>
      <c r="F563" s="130"/>
      <c r="G563" s="126">
        <f t="shared" si="158"/>
        <v>17.722176470588234</v>
      </c>
      <c r="H563" s="126">
        <f t="shared" si="168"/>
        <v>21.302414141414143</v>
      </c>
      <c r="I563" s="126">
        <f t="shared" si="169"/>
        <v>42.894498732267166</v>
      </c>
      <c r="J563" s="171">
        <v>245828.61</v>
      </c>
    </row>
    <row r="564" spans="1:10" x14ac:dyDescent="0.2">
      <c r="A564" s="193">
        <v>3322</v>
      </c>
      <c r="B564" s="198" t="s">
        <v>265</v>
      </c>
      <c r="C564" s="122">
        <f>SUM(C565:C567)</f>
        <v>332000</v>
      </c>
      <c r="D564" s="122">
        <f>SUM(D565:D567)</f>
        <v>613000</v>
      </c>
      <c r="E564" s="122">
        <v>356945.9</v>
      </c>
      <c r="F564" s="127">
        <f>SUM(E565:E567)</f>
        <v>356945.9</v>
      </c>
      <c r="G564" s="120">
        <f t="shared" si="158"/>
        <v>107.51382530120483</v>
      </c>
      <c r="H564" s="120">
        <f t="shared" si="168"/>
        <v>58.229347471451874</v>
      </c>
      <c r="I564" s="120">
        <f t="shared" si="169"/>
        <v>120.16040377860419</v>
      </c>
      <c r="J564" s="6">
        <v>297057.84000000003</v>
      </c>
    </row>
    <row r="565" spans="1:10" ht="12.75" customHeight="1" x14ac:dyDescent="0.2">
      <c r="A565" s="191"/>
      <c r="B565" s="197" t="s">
        <v>264</v>
      </c>
      <c r="C565" s="126">
        <v>10000</v>
      </c>
      <c r="D565" s="126">
        <v>10000</v>
      </c>
      <c r="E565" s="295">
        <v>0</v>
      </c>
      <c r="F565" s="295"/>
      <c r="G565" s="126">
        <f t="shared" si="158"/>
        <v>0</v>
      </c>
      <c r="H565" s="126">
        <f>E565/D565*100</f>
        <v>0</v>
      </c>
      <c r="I565" s="126">
        <v>0</v>
      </c>
      <c r="J565" s="14">
        <v>8028</v>
      </c>
    </row>
    <row r="566" spans="1:10" ht="12.75" customHeight="1" x14ac:dyDescent="0.2">
      <c r="A566" s="191"/>
      <c r="B566" s="190" t="s">
        <v>263</v>
      </c>
      <c r="C566" s="126">
        <v>42000</v>
      </c>
      <c r="D566" s="126">
        <v>42000</v>
      </c>
      <c r="E566" s="130">
        <v>12713</v>
      </c>
      <c r="F566" s="130"/>
      <c r="G566" s="126">
        <f t="shared" si="158"/>
        <v>30.269047619047619</v>
      </c>
      <c r="H566" s="130">
        <f t="shared" ref="H566:H599" si="170">E566/D566*100</f>
        <v>30.269047619047619</v>
      </c>
      <c r="I566" s="126">
        <f>E566/J566*100</f>
        <v>11.89064312170302</v>
      </c>
      <c r="J566" s="14">
        <v>106916</v>
      </c>
    </row>
    <row r="567" spans="1:10" s="3" customFormat="1" ht="25.5" x14ac:dyDescent="0.2">
      <c r="A567" s="191"/>
      <c r="B567" s="190" t="s">
        <v>989</v>
      </c>
      <c r="C567" s="126">
        <v>280000</v>
      </c>
      <c r="D567" s="126">
        <f>280000+180000-40000+141000</f>
        <v>561000</v>
      </c>
      <c r="E567" s="126">
        <v>344232.9</v>
      </c>
      <c r="F567" s="126"/>
      <c r="G567" s="126">
        <f t="shared" si="158"/>
        <v>122.94032142857144</v>
      </c>
      <c r="H567" s="126">
        <f t="shared" si="170"/>
        <v>61.360588235294124</v>
      </c>
      <c r="I567" s="126">
        <f>E567/J567*100</f>
        <v>189.02072461928211</v>
      </c>
      <c r="J567" s="6">
        <v>182113.84</v>
      </c>
    </row>
    <row r="568" spans="1:10" s="3" customFormat="1" x14ac:dyDescent="0.2">
      <c r="A568" s="193">
        <v>3326</v>
      </c>
      <c r="B568" s="192" t="s">
        <v>261</v>
      </c>
      <c r="C568" s="122">
        <f>SUM(C569:C570)</f>
        <v>341000</v>
      </c>
      <c r="D568" s="122">
        <f>SUM(D569:D570)</f>
        <v>381000</v>
      </c>
      <c r="E568" s="121">
        <v>363677.4</v>
      </c>
      <c r="F568" s="130">
        <f>SUM(E569:E570)</f>
        <v>363677.39999999997</v>
      </c>
      <c r="G568" s="120">
        <f t="shared" si="158"/>
        <v>106.65026392961879</v>
      </c>
      <c r="H568" s="120">
        <f t="shared" si="170"/>
        <v>95.453385826771665</v>
      </c>
      <c r="I568" s="120">
        <f t="shared" ref="I568:I571" si="171">E568/J568*100</f>
        <v>2486.8089052027249</v>
      </c>
      <c r="J568" s="14">
        <v>14624.26</v>
      </c>
    </row>
    <row r="569" spans="1:10" s="3" customFormat="1" ht="12.75" customHeight="1" x14ac:dyDescent="0.2">
      <c r="A569" s="191"/>
      <c r="B569" s="190" t="s">
        <v>791</v>
      </c>
      <c r="C569" s="126">
        <v>338000</v>
      </c>
      <c r="D569" s="126">
        <f>338000+40000</f>
        <v>378000</v>
      </c>
      <c r="E569" s="130">
        <v>361942.1</v>
      </c>
      <c r="F569" s="130"/>
      <c r="G569" s="126">
        <f t="shared" si="158"/>
        <v>107.08346153846153</v>
      </c>
      <c r="H569" s="126">
        <f t="shared" si="170"/>
        <v>95.751878306878297</v>
      </c>
      <c r="I569" s="126">
        <f t="shared" si="171"/>
        <v>2585.3007142857141</v>
      </c>
      <c r="J569" s="6">
        <v>14000</v>
      </c>
    </row>
    <row r="570" spans="1:10" s="3" customFormat="1" ht="12.75" customHeight="1" x14ac:dyDescent="0.2">
      <c r="A570" s="191"/>
      <c r="B570" s="190" t="s">
        <v>260</v>
      </c>
      <c r="C570" s="126">
        <v>3000</v>
      </c>
      <c r="D570" s="126">
        <v>3000</v>
      </c>
      <c r="E570" s="130">
        <v>1735.3</v>
      </c>
      <c r="F570" s="130"/>
      <c r="G570" s="126">
        <f t="shared" ref="G570:G593" si="172">E570/C570*100</f>
        <v>57.843333333333334</v>
      </c>
      <c r="H570" s="126">
        <f t="shared" si="170"/>
        <v>57.843333333333334</v>
      </c>
      <c r="I570" s="126">
        <f t="shared" si="171"/>
        <v>277.97712491590045</v>
      </c>
      <c r="J570" s="14">
        <v>624.26</v>
      </c>
    </row>
    <row r="571" spans="1:10" x14ac:dyDescent="0.2">
      <c r="A571" s="193">
        <v>3392</v>
      </c>
      <c r="B571" s="192" t="s">
        <v>259</v>
      </c>
      <c r="C571" s="122">
        <f>C573+C572</f>
        <v>26232000</v>
      </c>
      <c r="D571" s="122">
        <f>D573+D572</f>
        <v>28384493.260000002</v>
      </c>
      <c r="E571" s="121">
        <v>28362493.260000002</v>
      </c>
      <c r="F571" s="130"/>
      <c r="G571" s="120">
        <f t="shared" si="172"/>
        <v>108.12173398902105</v>
      </c>
      <c r="H571" s="120">
        <f t="shared" si="170"/>
        <v>99.922492891458432</v>
      </c>
      <c r="I571" s="120">
        <f t="shared" si="171"/>
        <v>112.21785865714506</v>
      </c>
      <c r="J571" s="6">
        <v>25274491.600000001</v>
      </c>
    </row>
    <row r="572" spans="1:10" ht="12.75" customHeight="1" x14ac:dyDescent="0.2">
      <c r="A572" s="193"/>
      <c r="B572" s="190" t="s">
        <v>258</v>
      </c>
      <c r="C572" s="126">
        <v>26000</v>
      </c>
      <c r="D572" s="126">
        <v>26000</v>
      </c>
      <c r="E572" s="130">
        <v>4000</v>
      </c>
      <c r="F572" s="130"/>
      <c r="G572" s="126">
        <f t="shared" si="172"/>
        <v>15.384615384615385</v>
      </c>
      <c r="H572" s="126">
        <f t="shared" si="170"/>
        <v>15.384615384615385</v>
      </c>
      <c r="I572" s="130">
        <f>E572/J572*100</f>
        <v>100</v>
      </c>
      <c r="J572" s="6">
        <v>4000</v>
      </c>
    </row>
    <row r="573" spans="1:10" x14ac:dyDescent="0.2">
      <c r="A573" s="191"/>
      <c r="B573" s="190" t="s">
        <v>257</v>
      </c>
      <c r="C573" s="122">
        <f>SUM(C574+C576+C577)</f>
        <v>26206000</v>
      </c>
      <c r="D573" s="122">
        <f>SUM(D574+D576+D577)</f>
        <v>28358493.260000002</v>
      </c>
      <c r="E573" s="121">
        <v>28358493.260000002</v>
      </c>
      <c r="F573" s="130">
        <f>SUM(E574:E577)</f>
        <v>28358493.260000002</v>
      </c>
      <c r="G573" s="120">
        <f t="shared" si="172"/>
        <v>108.21374212012518</v>
      </c>
      <c r="H573" s="120">
        <f t="shared" si="170"/>
        <v>100</v>
      </c>
      <c r="I573" s="120">
        <f t="shared" ref="I573" si="173">E573/J573*100</f>
        <v>112.21979259002623</v>
      </c>
      <c r="J573" s="6">
        <v>25270491.600000001</v>
      </c>
    </row>
    <row r="574" spans="1:10" ht="12.75" customHeight="1" x14ac:dyDescent="0.2">
      <c r="A574" s="191"/>
      <c r="B574" s="190" t="s">
        <v>256</v>
      </c>
      <c r="C574" s="126">
        <v>24300000</v>
      </c>
      <c r="D574" s="126">
        <f>24300000+4123000-250000+830000+100000+(-300000-330000)+8243-244970.18+382000-1496251.56+472-1000000</f>
        <v>26122493.260000002</v>
      </c>
      <c r="E574" s="130">
        <v>26122493.260000002</v>
      </c>
      <c r="F574" s="130"/>
      <c r="G574" s="126">
        <f t="shared" si="172"/>
        <v>107.49997226337449</v>
      </c>
      <c r="H574" s="130">
        <f t="shared" si="170"/>
        <v>100</v>
      </c>
      <c r="I574" s="130">
        <f>E574/J574*100</f>
        <v>110.16216752408259</v>
      </c>
      <c r="J574" s="6">
        <v>23712762.600000001</v>
      </c>
    </row>
    <row r="575" spans="1:10" ht="12.75" customHeight="1" x14ac:dyDescent="0.2">
      <c r="A575" s="191"/>
      <c r="B575" s="190" t="s">
        <v>255</v>
      </c>
      <c r="C575" s="126"/>
      <c r="D575" s="126"/>
      <c r="E575" s="538"/>
      <c r="F575" s="130"/>
      <c r="G575" s="126"/>
      <c r="H575" s="510"/>
      <c r="I575" s="130"/>
      <c r="J575" s="6"/>
    </row>
    <row r="576" spans="1:10" s="3" customFormat="1" ht="48.75" x14ac:dyDescent="0.2">
      <c r="A576" s="191"/>
      <c r="B576" s="190" t="s">
        <v>253</v>
      </c>
      <c r="C576" s="126">
        <f>+(415+351+130+310+313+57+157-600)*1000</f>
        <v>1133000</v>
      </c>
      <c r="D576" s="126">
        <f>((415+351+130+310+313+57+157-600)*1000)+330000+32201</f>
        <v>1495201</v>
      </c>
      <c r="E576" s="130">
        <v>1495201</v>
      </c>
      <c r="F576" s="130"/>
      <c r="G576" s="126">
        <f t="shared" si="172"/>
        <v>131.96831421006178</v>
      </c>
      <c r="H576" s="126">
        <f t="shared" si="170"/>
        <v>100</v>
      </c>
      <c r="I576" s="130">
        <f t="shared" ref="I576" si="174">E576/J576*100</f>
        <v>105.03982898021091</v>
      </c>
      <c r="J576" s="6">
        <v>1423461</v>
      </c>
    </row>
    <row r="577" spans="1:10" s="3" customFormat="1" ht="12.75" customHeight="1" x14ac:dyDescent="0.2">
      <c r="A577" s="191"/>
      <c r="B577" s="194" t="s">
        <v>978</v>
      </c>
      <c r="C577" s="126">
        <v>773000</v>
      </c>
      <c r="D577" s="126">
        <f>773000-32201</f>
        <v>740799</v>
      </c>
      <c r="E577" s="126">
        <v>740799</v>
      </c>
      <c r="F577" s="126"/>
      <c r="G577" s="126">
        <f>E577/C577*100</f>
        <v>95.834282018111253</v>
      </c>
      <c r="H577" s="126">
        <f>E577/D577*100</f>
        <v>100</v>
      </c>
      <c r="I577" s="130">
        <f>E577/J577*100</f>
        <v>551.7316114040575</v>
      </c>
      <c r="J577" s="6">
        <v>134268</v>
      </c>
    </row>
    <row r="578" spans="1:10" x14ac:dyDescent="0.2">
      <c r="A578" s="193">
        <v>3399</v>
      </c>
      <c r="B578" s="192" t="s">
        <v>252</v>
      </c>
      <c r="C578" s="122">
        <f>C579</f>
        <v>180000</v>
      </c>
      <c r="D578" s="122">
        <f>D579</f>
        <v>180000</v>
      </c>
      <c r="E578" s="121">
        <v>126078.29</v>
      </c>
      <c r="F578" s="130"/>
      <c r="G578" s="120">
        <f t="shared" si="172"/>
        <v>70.043494444444448</v>
      </c>
      <c r="H578" s="120">
        <f t="shared" si="170"/>
        <v>70.043494444444448</v>
      </c>
      <c r="I578" s="120">
        <f t="shared" ref="I578:I590" si="175">E578/J578*100</f>
        <v>56.875455228602455</v>
      </c>
      <c r="J578" s="162">
        <v>221674.34</v>
      </c>
    </row>
    <row r="579" spans="1:10" ht="12.75" customHeight="1" thickBot="1" x14ac:dyDescent="0.25">
      <c r="A579" s="191"/>
      <c r="B579" s="190" t="s">
        <v>251</v>
      </c>
      <c r="C579" s="126">
        <v>180000</v>
      </c>
      <c r="D579" s="126">
        <v>180000</v>
      </c>
      <c r="E579" s="151">
        <v>126078.29</v>
      </c>
      <c r="F579" s="151"/>
      <c r="G579" s="126">
        <f t="shared" si="172"/>
        <v>70.043494444444448</v>
      </c>
      <c r="H579" s="151">
        <f t="shared" si="170"/>
        <v>70.043494444444448</v>
      </c>
      <c r="I579" s="151">
        <f t="shared" si="175"/>
        <v>56.875455228602455</v>
      </c>
      <c r="J579" s="129">
        <v>221674.34</v>
      </c>
    </row>
    <row r="580" spans="1:10" ht="16.5" thickBot="1" x14ac:dyDescent="0.3">
      <c r="A580" s="140"/>
      <c r="B580" s="158" t="s">
        <v>250</v>
      </c>
      <c r="C580" s="189">
        <f>C581</f>
        <v>17576816</v>
      </c>
      <c r="D580" s="189">
        <f>D581</f>
        <v>18817285</v>
      </c>
      <c r="E580" s="479">
        <v>18343622.100000001</v>
      </c>
      <c r="F580" s="317">
        <f>SUM(E582:E590)</f>
        <v>18343622.199999999</v>
      </c>
      <c r="G580" s="479">
        <f>E580/C580*100</f>
        <v>104.36259957434839</v>
      </c>
      <c r="H580" s="479">
        <f t="shared" si="170"/>
        <v>97.482830812202721</v>
      </c>
      <c r="I580" s="479">
        <f t="shared" si="175"/>
        <v>51.242318277724287</v>
      </c>
      <c r="J580" s="129">
        <v>35797799</v>
      </c>
    </row>
    <row r="581" spans="1:10" x14ac:dyDescent="0.2">
      <c r="A581" s="124"/>
      <c r="B581" s="188" t="s">
        <v>249</v>
      </c>
      <c r="C581" s="187">
        <f>SUM(C582:C590)</f>
        <v>17576816</v>
      </c>
      <c r="D581" s="187">
        <f>SUM(D582:D590)</f>
        <v>18817285</v>
      </c>
      <c r="E581" s="120">
        <v>18343622.199999999</v>
      </c>
      <c r="F581" s="126">
        <f>SUM(E582:E590)</f>
        <v>18343622.199999999</v>
      </c>
      <c r="G581" s="120">
        <f t="shared" si="172"/>
        <v>104.36260014327965</v>
      </c>
      <c r="H581" s="120">
        <f t="shared" si="170"/>
        <v>97.482831343629002</v>
      </c>
      <c r="I581" s="120">
        <f t="shared" si="175"/>
        <v>51.242318557071066</v>
      </c>
      <c r="J581" s="14">
        <v>35797799</v>
      </c>
    </row>
    <row r="582" spans="1:10" s="3" customFormat="1" ht="12.75" customHeight="1" x14ac:dyDescent="0.2">
      <c r="A582" s="132"/>
      <c r="B582" s="183" t="s">
        <v>248</v>
      </c>
      <c r="C582" s="126">
        <v>893000</v>
      </c>
      <c r="D582" s="126">
        <v>893000</v>
      </c>
      <c r="E582" s="130">
        <v>876000</v>
      </c>
      <c r="F582" s="130"/>
      <c r="G582" s="126">
        <f t="shared" si="172"/>
        <v>98.096304591265394</v>
      </c>
      <c r="H582" s="126">
        <f t="shared" si="170"/>
        <v>98.096304591265394</v>
      </c>
      <c r="I582" s="126">
        <f t="shared" si="175"/>
        <v>113.03225806451613</v>
      </c>
      <c r="J582" s="14">
        <v>775000</v>
      </c>
    </row>
    <row r="583" spans="1:10" s="3" customFormat="1" ht="12.75" customHeight="1" x14ac:dyDescent="0.2">
      <c r="A583" s="132"/>
      <c r="B583" s="183" t="s">
        <v>247</v>
      </c>
      <c r="C583" s="126">
        <v>297000</v>
      </c>
      <c r="D583" s="126">
        <v>297000</v>
      </c>
      <c r="E583" s="104">
        <v>79100</v>
      </c>
      <c r="F583" s="104"/>
      <c r="G583" s="126">
        <f t="shared" si="172"/>
        <v>26.63299663299663</v>
      </c>
      <c r="H583" s="126">
        <f t="shared" si="170"/>
        <v>26.63299663299663</v>
      </c>
      <c r="I583" s="126">
        <f t="shared" si="175"/>
        <v>100.12658227848101</v>
      </c>
      <c r="J583" s="6">
        <v>79000</v>
      </c>
    </row>
    <row r="584" spans="1:10" s="3" customFormat="1" ht="12.75" customHeight="1" x14ac:dyDescent="0.2">
      <c r="A584" s="132"/>
      <c r="B584" s="183" t="s">
        <v>246</v>
      </c>
      <c r="C584" s="126">
        <v>3029270</v>
      </c>
      <c r="D584" s="126">
        <v>3029270</v>
      </c>
      <c r="E584" s="126">
        <v>2978570</v>
      </c>
      <c r="F584" s="126"/>
      <c r="G584" s="126">
        <f t="shared" si="172"/>
        <v>98.326329445708041</v>
      </c>
      <c r="H584" s="126">
        <f t="shared" si="170"/>
        <v>98.326329445708041</v>
      </c>
      <c r="I584" s="126">
        <f t="shared" si="175"/>
        <v>77.135051145927747</v>
      </c>
      <c r="J584" s="6">
        <v>3861500</v>
      </c>
    </row>
    <row r="585" spans="1:10" ht="12.75" customHeight="1" x14ac:dyDescent="0.2">
      <c r="A585" s="132"/>
      <c r="B585" s="183" t="s">
        <v>245</v>
      </c>
      <c r="C585" s="126">
        <v>5469340</v>
      </c>
      <c r="D585" s="126">
        <v>5469340</v>
      </c>
      <c r="E585" s="130">
        <v>5469340</v>
      </c>
      <c r="F585" s="130"/>
      <c r="G585" s="126">
        <f t="shared" si="172"/>
        <v>100</v>
      </c>
      <c r="H585" s="126">
        <f t="shared" si="170"/>
        <v>100</v>
      </c>
      <c r="I585" s="126">
        <f t="shared" si="175"/>
        <v>78.010840108401084</v>
      </c>
      <c r="J585" s="6">
        <v>7011000</v>
      </c>
    </row>
    <row r="586" spans="1:10" ht="12.75" customHeight="1" x14ac:dyDescent="0.2">
      <c r="A586" s="132"/>
      <c r="B586" s="183" t="s">
        <v>244</v>
      </c>
      <c r="C586" s="126">
        <v>40000</v>
      </c>
      <c r="D586" s="126">
        <v>40000</v>
      </c>
      <c r="E586" s="130">
        <v>22000</v>
      </c>
      <c r="F586" s="130"/>
      <c r="G586" s="126">
        <f t="shared" si="172"/>
        <v>55.000000000000007</v>
      </c>
      <c r="H586" s="126">
        <f t="shared" si="170"/>
        <v>55.000000000000007</v>
      </c>
      <c r="I586" s="126">
        <f t="shared" si="175"/>
        <v>115.78947368421053</v>
      </c>
      <c r="J586" s="6">
        <v>19000</v>
      </c>
    </row>
    <row r="587" spans="1:10" ht="12.75" customHeight="1" x14ac:dyDescent="0.2">
      <c r="A587" s="132"/>
      <c r="B587" s="183" t="s">
        <v>243</v>
      </c>
      <c r="C587" s="126">
        <v>6500000</v>
      </c>
      <c r="D587" s="126">
        <v>6500000</v>
      </c>
      <c r="E587" s="130">
        <v>6500000</v>
      </c>
      <c r="F587" s="130"/>
      <c r="G587" s="126">
        <f t="shared" si="172"/>
        <v>100</v>
      </c>
      <c r="H587" s="126">
        <f t="shared" si="170"/>
        <v>100</v>
      </c>
      <c r="I587" s="126">
        <f t="shared" si="175"/>
        <v>97.014925373134332</v>
      </c>
      <c r="J587" s="6">
        <v>6700000</v>
      </c>
    </row>
    <row r="588" spans="1:10" ht="12.75" customHeight="1" x14ac:dyDescent="0.2">
      <c r="A588" s="185"/>
      <c r="B588" s="183" t="s">
        <v>242</v>
      </c>
      <c r="C588" s="126">
        <v>666000</v>
      </c>
      <c r="D588" s="126">
        <v>666000</v>
      </c>
      <c r="E588" s="126">
        <v>657000</v>
      </c>
      <c r="F588" s="126"/>
      <c r="G588" s="126">
        <f t="shared" si="172"/>
        <v>98.648648648648646</v>
      </c>
      <c r="H588" s="126">
        <f t="shared" si="170"/>
        <v>98.648648648648646</v>
      </c>
      <c r="I588" s="126">
        <f t="shared" si="175"/>
        <v>92.665726375176305</v>
      </c>
      <c r="J588" s="14">
        <v>709000</v>
      </c>
    </row>
    <row r="589" spans="1:10" ht="12.75" customHeight="1" x14ac:dyDescent="0.2">
      <c r="A589" s="185"/>
      <c r="B589" s="183" t="s">
        <v>241</v>
      </c>
      <c r="C589" s="126">
        <v>84000</v>
      </c>
      <c r="D589" s="126">
        <v>84000</v>
      </c>
      <c r="E589" s="127">
        <v>7500</v>
      </c>
      <c r="F589" s="127"/>
      <c r="G589" s="126">
        <f t="shared" si="172"/>
        <v>8.9285714285714288</v>
      </c>
      <c r="H589" s="126">
        <f t="shared" si="170"/>
        <v>8.9285714285714288</v>
      </c>
      <c r="I589" s="126">
        <f t="shared" si="175"/>
        <v>57.692307692307686</v>
      </c>
      <c r="J589" s="6">
        <v>13000</v>
      </c>
    </row>
    <row r="590" spans="1:10" ht="37.5" thickBot="1" x14ac:dyDescent="0.25">
      <c r="A590" s="184"/>
      <c r="B590" s="183" t="s">
        <v>240</v>
      </c>
      <c r="C590" s="126">
        <v>598206</v>
      </c>
      <c r="D590" s="126">
        <f>598206+500000+79385+267145+213939+100000+80000</f>
        <v>1838675</v>
      </c>
      <c r="E590" s="117">
        <v>1754112.2</v>
      </c>
      <c r="F590" s="117"/>
      <c r="G590" s="126">
        <f t="shared" si="172"/>
        <v>293.22878740768232</v>
      </c>
      <c r="H590" s="151">
        <f t="shared" si="170"/>
        <v>95.400883788597767</v>
      </c>
      <c r="I590" s="126">
        <f t="shared" si="175"/>
        <v>10.87464156740058</v>
      </c>
      <c r="J590" s="6">
        <v>16130299</v>
      </c>
    </row>
    <row r="591" spans="1:10" ht="21" customHeight="1" thickBot="1" x14ac:dyDescent="0.35">
      <c r="A591" s="140"/>
      <c r="B591" s="139" t="s">
        <v>239</v>
      </c>
      <c r="C591" s="181">
        <f>SUM(C593)</f>
        <v>24084500</v>
      </c>
      <c r="D591" s="181">
        <f>SUM(D593)</f>
        <v>24224500</v>
      </c>
      <c r="E591" s="181">
        <v>22749930.84</v>
      </c>
      <c r="F591" s="317">
        <f>E593</f>
        <v>22749930.84</v>
      </c>
      <c r="G591" s="571">
        <f>E591/C591*100</f>
        <v>94.458804791463393</v>
      </c>
      <c r="H591" s="181">
        <f t="shared" si="170"/>
        <v>93.912901566595792</v>
      </c>
      <c r="I591" s="181">
        <f>E591/J591*100</f>
        <v>94.257933774998904</v>
      </c>
      <c r="J591" s="14">
        <v>24135825.949999999</v>
      </c>
    </row>
    <row r="592" spans="1:10" ht="12" customHeight="1" x14ac:dyDescent="0.2">
      <c r="A592" s="124">
        <v>5311</v>
      </c>
      <c r="B592" s="180" t="s">
        <v>238</v>
      </c>
      <c r="C592" s="120">
        <f>SUM(C593)</f>
        <v>24084500</v>
      </c>
      <c r="D592" s="120">
        <f>SUM(D593)</f>
        <v>24224500</v>
      </c>
      <c r="E592" s="120">
        <v>22749930.84</v>
      </c>
      <c r="F592" s="126"/>
      <c r="G592" s="120">
        <f t="shared" si="172"/>
        <v>94.458804791463393</v>
      </c>
      <c r="H592" s="120">
        <f t="shared" si="170"/>
        <v>93.912901566595792</v>
      </c>
      <c r="I592" s="120">
        <f t="shared" ref="I592:I599" si="176">E592/J592*100</f>
        <v>94.257933774998904</v>
      </c>
      <c r="J592" s="6">
        <v>24135825.949999999</v>
      </c>
    </row>
    <row r="593" spans="1:10" ht="62.25" x14ac:dyDescent="0.2">
      <c r="A593" s="124"/>
      <c r="B593" s="179" t="s">
        <v>237</v>
      </c>
      <c r="C593" s="126">
        <f>(16000+3968+1440+2+275+1+101+127.5+10+240+1+242+30+3+27+2+579+283+80+7+50+10+100+6+500)*1000</f>
        <v>24084500</v>
      </c>
      <c r="D593" s="126">
        <f>((16000+3968+1440+2+275+1+101+127.5+10+240+1+242+30+3+27+2+579+283+80+7+50+10+100+6+500)*1000)+140000</f>
        <v>24224500</v>
      </c>
      <c r="E593" s="130">
        <v>22749930.84</v>
      </c>
      <c r="F593" s="130"/>
      <c r="G593" s="126">
        <f t="shared" si="172"/>
        <v>94.458804791463393</v>
      </c>
      <c r="H593" s="126">
        <f t="shared" si="170"/>
        <v>93.912901566595792</v>
      </c>
      <c r="I593" s="126">
        <f t="shared" si="176"/>
        <v>94.257933774998904</v>
      </c>
      <c r="J593" s="6">
        <v>24135825.949999999</v>
      </c>
    </row>
    <row r="594" spans="1:10" ht="12.75" customHeight="1" thickBot="1" x14ac:dyDescent="0.25">
      <c r="A594" s="143"/>
      <c r="B594" s="178"/>
      <c r="C594" s="326"/>
      <c r="D594" s="326"/>
      <c r="E594" s="326"/>
      <c r="F594" s="326"/>
      <c r="G594" s="326"/>
      <c r="H594" s="326"/>
      <c r="I594" s="326"/>
      <c r="J594" s="6"/>
    </row>
    <row r="595" spans="1:10" ht="21" thickBot="1" x14ac:dyDescent="0.35">
      <c r="A595" s="140"/>
      <c r="B595" s="139" t="s">
        <v>236</v>
      </c>
      <c r="C595" s="176">
        <f>SUM(C596:C601)+C610</f>
        <v>34895800</v>
      </c>
      <c r="D595" s="176">
        <f>SUM(D596:D601)+D610</f>
        <v>34705630.560000002</v>
      </c>
      <c r="E595" s="181">
        <v>26056398.27</v>
      </c>
      <c r="F595" s="317">
        <f>SUM(E596:E601,E610)</f>
        <v>26056398.269999996</v>
      </c>
      <c r="G595" s="571">
        <f>E595/C595*100</f>
        <v>74.669152935310265</v>
      </c>
      <c r="H595" s="181">
        <f t="shared" si="170"/>
        <v>75.078302424020265</v>
      </c>
      <c r="I595" s="181">
        <f t="shared" si="176"/>
        <v>102.54365075029681</v>
      </c>
      <c r="J595" s="14">
        <v>25410055.210000001</v>
      </c>
    </row>
    <row r="596" spans="1:10" s="3" customFormat="1" ht="36.75" x14ac:dyDescent="0.2">
      <c r="A596" s="138">
        <v>5212</v>
      </c>
      <c r="B596" s="175" t="s">
        <v>235</v>
      </c>
      <c r="C596" s="120">
        <v>169000</v>
      </c>
      <c r="D596" s="120">
        <v>169000</v>
      </c>
      <c r="E596" s="120">
        <v>98384.08</v>
      </c>
      <c r="F596" s="126"/>
      <c r="G596" s="120">
        <f t="shared" ref="G596:G610" si="177">E596/C596*100</f>
        <v>58.215431952662719</v>
      </c>
      <c r="H596" s="120">
        <f t="shared" si="170"/>
        <v>58.215431952662719</v>
      </c>
      <c r="I596" s="120">
        <f t="shared" si="176"/>
        <v>84.854577636131268</v>
      </c>
      <c r="J596" s="6">
        <v>115944.34</v>
      </c>
    </row>
    <row r="597" spans="1:10" s="17" customFormat="1" ht="36.75" x14ac:dyDescent="0.25">
      <c r="A597" s="124">
        <v>5213</v>
      </c>
      <c r="B597" s="135" t="s">
        <v>234</v>
      </c>
      <c r="C597" s="120">
        <v>300000</v>
      </c>
      <c r="D597" s="120">
        <v>300000</v>
      </c>
      <c r="E597" s="121">
        <v>273589.18</v>
      </c>
      <c r="F597" s="130"/>
      <c r="G597" s="120">
        <f t="shared" si="177"/>
        <v>91.196393333333333</v>
      </c>
      <c r="H597" s="120">
        <f t="shared" si="170"/>
        <v>91.196393333333333</v>
      </c>
      <c r="I597" s="120">
        <f t="shared" si="176"/>
        <v>28.188519083341518</v>
      </c>
      <c r="J597" s="6">
        <v>970569.54</v>
      </c>
    </row>
    <row r="598" spans="1:10" s="3" customFormat="1" ht="24.75" x14ac:dyDescent="0.2">
      <c r="A598" s="124">
        <v>5273</v>
      </c>
      <c r="B598" s="135" t="s">
        <v>233</v>
      </c>
      <c r="C598" s="120">
        <v>5000</v>
      </c>
      <c r="D598" s="120">
        <v>5000</v>
      </c>
      <c r="E598" s="121">
        <v>0</v>
      </c>
      <c r="F598" s="130"/>
      <c r="G598" s="120">
        <f t="shared" si="177"/>
        <v>0</v>
      </c>
      <c r="H598" s="120">
        <f t="shared" si="170"/>
        <v>0</v>
      </c>
      <c r="I598" s="120">
        <v>0</v>
      </c>
      <c r="J598" s="6">
        <v>0</v>
      </c>
    </row>
    <row r="599" spans="1:10" s="17" customFormat="1" ht="15.75" x14ac:dyDescent="0.25">
      <c r="A599" s="124">
        <v>5511</v>
      </c>
      <c r="B599" s="135" t="s">
        <v>232</v>
      </c>
      <c r="C599" s="120">
        <v>1800000</v>
      </c>
      <c r="D599" s="120">
        <v>1800000</v>
      </c>
      <c r="E599" s="134">
        <v>1698645</v>
      </c>
      <c r="F599" s="117"/>
      <c r="G599" s="120">
        <f t="shared" si="177"/>
        <v>94.369166666666672</v>
      </c>
      <c r="H599" s="120">
        <f t="shared" si="170"/>
        <v>94.369166666666672</v>
      </c>
      <c r="I599" s="120">
        <f t="shared" si="176"/>
        <v>103.19998979327742</v>
      </c>
      <c r="J599" s="14">
        <v>1645974</v>
      </c>
    </row>
    <row r="600" spans="1:10" s="17" customFormat="1" ht="36.75" x14ac:dyDescent="0.25">
      <c r="A600" s="124">
        <v>5512</v>
      </c>
      <c r="B600" s="135" t="s">
        <v>231</v>
      </c>
      <c r="C600" s="120">
        <v>332600</v>
      </c>
      <c r="D600" s="120">
        <f>332600+3600</f>
        <v>336200</v>
      </c>
      <c r="E600" s="713">
        <v>331096.64</v>
      </c>
      <c r="F600" s="525"/>
      <c r="G600" s="120">
        <f t="shared" si="177"/>
        <v>99.547997594708363</v>
      </c>
      <c r="H600" s="510">
        <f>E600/D600*100</f>
        <v>98.482046400951816</v>
      </c>
      <c r="I600" s="510">
        <f>E600/J600*100</f>
        <v>210.81061291627003</v>
      </c>
      <c r="J600" s="6">
        <v>157058.81</v>
      </c>
    </row>
    <row r="601" spans="1:10" s="17" customFormat="1" ht="12.75" customHeight="1" x14ac:dyDescent="0.25">
      <c r="A601" s="124">
        <v>6171</v>
      </c>
      <c r="B601" s="123" t="s">
        <v>219</v>
      </c>
      <c r="C601" s="122">
        <f>SUM(C602:C609)</f>
        <v>30939200</v>
      </c>
      <c r="D601" s="122">
        <f>SUM(D602:D609)</f>
        <v>30745430.559999999</v>
      </c>
      <c r="E601" s="522">
        <v>22413670.239999998</v>
      </c>
      <c r="F601" s="523">
        <f>SUM(E602:E609)</f>
        <v>22413670.239999998</v>
      </c>
      <c r="G601" s="120">
        <f t="shared" si="177"/>
        <v>72.444246263639641</v>
      </c>
      <c r="H601" s="120">
        <f>E601/D601*100</f>
        <v>72.900817558106752</v>
      </c>
      <c r="I601" s="120">
        <f>E601/J601*100</f>
        <v>104.95761195399507</v>
      </c>
      <c r="J601" s="14">
        <v>21354973.52</v>
      </c>
    </row>
    <row r="602" spans="1:10" s="17" customFormat="1" ht="156" x14ac:dyDescent="0.25">
      <c r="A602" s="124"/>
      <c r="B602" s="172" t="s">
        <v>230</v>
      </c>
      <c r="C602" s="126">
        <f>21917200-1500000</f>
        <v>20417200</v>
      </c>
      <c r="D602" s="126">
        <f>(21917200-1500000)-400000-1500000+12587-62000+76838+788000-800000</f>
        <v>18532625</v>
      </c>
      <c r="E602" s="126">
        <v>14592747.43</v>
      </c>
      <c r="F602" s="126"/>
      <c r="G602" s="126">
        <f t="shared" si="177"/>
        <v>71.472814244852373</v>
      </c>
      <c r="H602" s="126">
        <f>E602/D603*100</f>
        <v>1087.3880350223546</v>
      </c>
      <c r="I602" s="126">
        <f t="shared" ref="I602:I610" si="178">E602/J602*100</f>
        <v>111.73473581687163</v>
      </c>
      <c r="J602" s="6">
        <v>13060170.880000001</v>
      </c>
    </row>
    <row r="603" spans="1:10" s="17" customFormat="1" ht="36" x14ac:dyDescent="0.25">
      <c r="A603" s="124"/>
      <c r="B603" s="174" t="s">
        <v>229</v>
      </c>
      <c r="C603" s="126">
        <v>480000</v>
      </c>
      <c r="D603" s="126">
        <f>480000+62000+800000</f>
        <v>1342000</v>
      </c>
      <c r="E603" s="130">
        <v>1330508.3799999999</v>
      </c>
      <c r="F603" s="130"/>
      <c r="G603" s="126">
        <f t="shared" si="177"/>
        <v>277.1892458333333</v>
      </c>
      <c r="H603" s="126">
        <f t="shared" ref="H603:H610" si="179">E603/D603*100</f>
        <v>99.143694485842019</v>
      </c>
      <c r="I603" s="126">
        <f t="shared" si="178"/>
        <v>84.605243544976929</v>
      </c>
      <c r="J603" s="6">
        <v>1572607.47</v>
      </c>
    </row>
    <row r="604" spans="1:10" s="3" customFormat="1" ht="48" x14ac:dyDescent="0.2">
      <c r="A604" s="132"/>
      <c r="B604" s="173" t="s">
        <v>228</v>
      </c>
      <c r="C604" s="126">
        <v>5977400</v>
      </c>
      <c r="D604" s="126">
        <f>5977400+80000+(-392000+6000)</f>
        <v>5671400</v>
      </c>
      <c r="E604" s="130">
        <v>2372931.5</v>
      </c>
      <c r="F604" s="130">
        <f>D604-3943437.5</f>
        <v>1727962.5</v>
      </c>
      <c r="G604" s="126">
        <f t="shared" si="177"/>
        <v>39.698388931642519</v>
      </c>
      <c r="H604" s="126">
        <f t="shared" si="179"/>
        <v>41.840312797545579</v>
      </c>
      <c r="I604" s="126">
        <f t="shared" si="178"/>
        <v>64.23802857701854</v>
      </c>
      <c r="J604" s="6">
        <v>3693966.88</v>
      </c>
    </row>
    <row r="605" spans="1:10" ht="24" x14ac:dyDescent="0.2">
      <c r="A605" s="132"/>
      <c r="B605" s="172" t="s">
        <v>227</v>
      </c>
      <c r="C605" s="126">
        <v>3071000</v>
      </c>
      <c r="D605" s="126">
        <f>3071000+(59625+506812.5)-80000+386000</f>
        <v>3943437.5</v>
      </c>
      <c r="E605" s="127">
        <v>3035903.1</v>
      </c>
      <c r="F605" s="127">
        <f>D605-5671400</f>
        <v>-1727962.5</v>
      </c>
      <c r="G605" s="126">
        <f t="shared" si="177"/>
        <v>98.857150765223054</v>
      </c>
      <c r="H605" s="126">
        <f t="shared" si="179"/>
        <v>76.986210634757114</v>
      </c>
      <c r="I605" s="126">
        <f t="shared" si="178"/>
        <v>162.01232540099906</v>
      </c>
      <c r="J605" s="6">
        <v>1873871.69</v>
      </c>
    </row>
    <row r="606" spans="1:10" ht="36.75" x14ac:dyDescent="0.2">
      <c r="A606" s="132"/>
      <c r="B606" s="128" t="s">
        <v>226</v>
      </c>
      <c r="C606" s="126">
        <f>833000-300000</f>
        <v>533000</v>
      </c>
      <c r="D606" s="126">
        <f>833000-300000+300000</f>
        <v>833000</v>
      </c>
      <c r="E606" s="127">
        <v>702284.96</v>
      </c>
      <c r="F606" s="127"/>
      <c r="G606" s="126">
        <f t="shared" si="177"/>
        <v>131.76078048780485</v>
      </c>
      <c r="H606" s="126">
        <f t="shared" si="179"/>
        <v>84.307918367346929</v>
      </c>
      <c r="I606" s="126">
        <f t="shared" si="178"/>
        <v>85.535831956332842</v>
      </c>
      <c r="J606" s="6">
        <v>821041.83</v>
      </c>
    </row>
    <row r="607" spans="1:10" ht="14.25" customHeight="1" x14ac:dyDescent="0.2">
      <c r="A607" s="132"/>
      <c r="B607" s="155" t="s">
        <v>225</v>
      </c>
      <c r="C607" s="126">
        <v>200000</v>
      </c>
      <c r="D607" s="126">
        <v>200000</v>
      </c>
      <c r="E607" s="127">
        <v>183178.73</v>
      </c>
      <c r="F607" s="127"/>
      <c r="G607" s="126">
        <f t="shared" si="177"/>
        <v>91.589365000000001</v>
      </c>
      <c r="H607" s="126">
        <f t="shared" si="179"/>
        <v>91.589365000000001</v>
      </c>
      <c r="I607" s="126">
        <f t="shared" si="178"/>
        <v>103.12584147819011</v>
      </c>
      <c r="J607" s="14">
        <v>177626.41</v>
      </c>
    </row>
    <row r="608" spans="1:10" x14ac:dyDescent="0.2">
      <c r="A608" s="132"/>
      <c r="B608" s="155" t="s">
        <v>224</v>
      </c>
      <c r="C608" s="126">
        <v>60000</v>
      </c>
      <c r="D608" s="126">
        <v>60000</v>
      </c>
      <c r="E608" s="130">
        <v>33148.080000000002</v>
      </c>
      <c r="F608" s="130"/>
      <c r="G608" s="126">
        <f t="shared" si="177"/>
        <v>55.246800000000007</v>
      </c>
      <c r="H608" s="126">
        <f t="shared" si="179"/>
        <v>55.246800000000007</v>
      </c>
      <c r="I608" s="126">
        <f t="shared" si="178"/>
        <v>92.730850949252442</v>
      </c>
      <c r="J608" s="14">
        <v>35746.550000000003</v>
      </c>
    </row>
    <row r="609" spans="1:10" ht="24.75" x14ac:dyDescent="0.2">
      <c r="A609" s="132"/>
      <c r="B609" s="128" t="s">
        <v>223</v>
      </c>
      <c r="C609" s="126">
        <v>200600</v>
      </c>
      <c r="D609" s="126">
        <f>200600-37631.94</f>
        <v>162968.06</v>
      </c>
      <c r="E609" s="130">
        <v>162968.06</v>
      </c>
      <c r="F609" s="130"/>
      <c r="G609" s="126">
        <f t="shared" si="177"/>
        <v>81.240309072781656</v>
      </c>
      <c r="H609" s="126">
        <f t="shared" si="179"/>
        <v>100</v>
      </c>
      <c r="I609" s="126">
        <f t="shared" si="178"/>
        <v>135.8726035566747</v>
      </c>
      <c r="J609" s="6">
        <v>119941.81</v>
      </c>
    </row>
    <row r="610" spans="1:10" ht="12.75" customHeight="1" x14ac:dyDescent="0.2">
      <c r="A610" s="124">
        <v>6320</v>
      </c>
      <c r="B610" s="123" t="s">
        <v>222</v>
      </c>
      <c r="C610" s="120">
        <v>1350000</v>
      </c>
      <c r="D610" s="120">
        <v>1350000</v>
      </c>
      <c r="E610" s="121">
        <v>1241013.1299999999</v>
      </c>
      <c r="F610" s="130"/>
      <c r="G610" s="120">
        <f t="shared" si="177"/>
        <v>91.926898518518513</v>
      </c>
      <c r="H610" s="120">
        <f t="shared" si="179"/>
        <v>91.926898518518513</v>
      </c>
      <c r="I610" s="120">
        <f t="shared" si="178"/>
        <v>106.47583556049366</v>
      </c>
      <c r="J610" s="14">
        <v>1165535</v>
      </c>
    </row>
    <row r="611" spans="1:10" ht="12.75" customHeight="1" thickBot="1" x14ac:dyDescent="0.25">
      <c r="A611" s="169"/>
      <c r="B611" s="168"/>
      <c r="C611" s="151"/>
      <c r="D611" s="151"/>
      <c r="E611" s="526"/>
      <c r="F611" s="326"/>
      <c r="G611" s="526"/>
      <c r="H611" s="526"/>
      <c r="I611" s="526"/>
      <c r="J611" s="6"/>
    </row>
    <row r="612" spans="1:10" ht="21" thickBot="1" x14ac:dyDescent="0.35">
      <c r="A612" s="140"/>
      <c r="B612" s="139" t="s">
        <v>221</v>
      </c>
      <c r="C612" s="552">
        <f>SUM(C613:C615,C620)</f>
        <v>149365960</v>
      </c>
      <c r="D612" s="552">
        <f>SUM(D613:D615,D620)</f>
        <v>153561427</v>
      </c>
      <c r="E612" s="181">
        <v>143151123.87</v>
      </c>
      <c r="F612" s="317">
        <f>SUM(E613:E615,E620)</f>
        <v>143151123.87</v>
      </c>
      <c r="G612" s="571">
        <f>E612/C612*100</f>
        <v>95.839188440257743</v>
      </c>
      <c r="H612" s="181">
        <f t="shared" ref="H612:H639" si="180">E612/D612*100</f>
        <v>93.220756453376794</v>
      </c>
      <c r="I612" s="181">
        <f t="shared" ref="I612:I629" si="181">E612/J612*100</f>
        <v>104.28297028746512</v>
      </c>
      <c r="J612" s="14">
        <v>137271812.91</v>
      </c>
    </row>
    <row r="613" spans="1:10" x14ac:dyDescent="0.2">
      <c r="A613" s="20">
        <v>3341</v>
      </c>
      <c r="B613" s="123" t="s">
        <v>336</v>
      </c>
      <c r="C613" s="120">
        <v>0</v>
      </c>
      <c r="D613" s="120">
        <v>2095129</v>
      </c>
      <c r="E613" s="494">
        <v>1954271</v>
      </c>
      <c r="F613" s="208"/>
      <c r="G613" s="120">
        <v>0</v>
      </c>
      <c r="H613" s="120">
        <f t="shared" si="180"/>
        <v>93.27688175763879</v>
      </c>
      <c r="I613" s="120">
        <f t="shared" si="181"/>
        <v>184.52046439078924</v>
      </c>
      <c r="J613" s="14">
        <v>1059108</v>
      </c>
    </row>
    <row r="614" spans="1:10" s="3" customFormat="1" ht="36.75" x14ac:dyDescent="0.2">
      <c r="A614" s="124">
        <v>6112</v>
      </c>
      <c r="B614" s="135" t="s">
        <v>220</v>
      </c>
      <c r="C614" s="120">
        <v>8946400</v>
      </c>
      <c r="D614" s="120">
        <v>8946400</v>
      </c>
      <c r="E614" s="136">
        <v>8107293</v>
      </c>
      <c r="F614" s="133"/>
      <c r="G614" s="120">
        <f t="shared" ref="G614:G620" si="182">E614/C614*100</f>
        <v>90.62073012608424</v>
      </c>
      <c r="H614" s="120">
        <f t="shared" si="180"/>
        <v>90.62073012608424</v>
      </c>
      <c r="I614" s="120">
        <f t="shared" si="181"/>
        <v>99.589629884407969</v>
      </c>
      <c r="J614" s="6">
        <v>8140700</v>
      </c>
    </row>
    <row r="615" spans="1:10" s="3" customFormat="1" x14ac:dyDescent="0.2">
      <c r="A615" s="124">
        <v>6171</v>
      </c>
      <c r="B615" s="123" t="s">
        <v>219</v>
      </c>
      <c r="C615" s="136">
        <f>SUM(C616:C619)</f>
        <v>134519560</v>
      </c>
      <c r="D615" s="136">
        <f>SUM(D616:D619)</f>
        <v>136619898</v>
      </c>
      <c r="E615" s="121">
        <v>127189559.87</v>
      </c>
      <c r="F615" s="130"/>
      <c r="G615" s="120">
        <f t="shared" si="182"/>
        <v>94.550978214618013</v>
      </c>
      <c r="H615" s="120">
        <f t="shared" si="180"/>
        <v>93.097390447473472</v>
      </c>
      <c r="I615" s="120">
        <f t="shared" si="181"/>
        <v>103.36697529527277</v>
      </c>
      <c r="J615" s="6">
        <v>123046610.88</v>
      </c>
    </row>
    <row r="616" spans="1:10" ht="36" customHeight="1" x14ac:dyDescent="0.2">
      <c r="A616" s="138"/>
      <c r="B616" s="146" t="s">
        <v>218</v>
      </c>
      <c r="C616" s="126">
        <v>120650400</v>
      </c>
      <c r="D616" s="126">
        <f>120650400+(-366300-90800-32900)+(-1137306+1211186)+91988+728860</f>
        <v>121055128</v>
      </c>
      <c r="E616" s="127">
        <v>112013182.52</v>
      </c>
      <c r="F616" s="127"/>
      <c r="G616" s="126">
        <f t="shared" si="182"/>
        <v>92.841119896825859</v>
      </c>
      <c r="H616" s="126">
        <f t="shared" si="180"/>
        <v>92.530720813413197</v>
      </c>
      <c r="I616" s="126">
        <f t="shared" si="181"/>
        <v>101.95877440806618</v>
      </c>
      <c r="J616" s="6">
        <v>109861248.5</v>
      </c>
    </row>
    <row r="617" spans="1:10" ht="12.75" customHeight="1" x14ac:dyDescent="0.25">
      <c r="A617" s="167"/>
      <c r="B617" s="128" t="s">
        <v>967</v>
      </c>
      <c r="C617" s="126">
        <v>0</v>
      </c>
      <c r="D617" s="126">
        <v>0</v>
      </c>
      <c r="E617" s="117">
        <v>792141.12</v>
      </c>
      <c r="F617" s="117"/>
      <c r="G617" s="126">
        <v>0</v>
      </c>
      <c r="H617" s="126">
        <v>0</v>
      </c>
      <c r="I617" s="126">
        <v>0</v>
      </c>
      <c r="J617" s="6">
        <v>0</v>
      </c>
    </row>
    <row r="618" spans="1:10" ht="12.75" customHeight="1" x14ac:dyDescent="0.25">
      <c r="A618" s="167"/>
      <c r="B618" s="128" t="s">
        <v>217</v>
      </c>
      <c r="C618" s="126">
        <v>7669160</v>
      </c>
      <c r="D618" s="130">
        <f>7669160+(4321750-4201510)-124630</f>
        <v>7664770</v>
      </c>
      <c r="E618" s="130">
        <v>6719466.2300000004</v>
      </c>
      <c r="F618" s="130"/>
      <c r="G618" s="130">
        <f t="shared" si="182"/>
        <v>87.616717215444723</v>
      </c>
      <c r="H618" s="130">
        <f t="shared" si="180"/>
        <v>87.666899724323116</v>
      </c>
      <c r="I618" s="130">
        <f t="shared" si="181"/>
        <v>86.714236343713509</v>
      </c>
      <c r="J618" s="6">
        <v>7748977</v>
      </c>
    </row>
    <row r="619" spans="1:10" ht="48.75" x14ac:dyDescent="0.25">
      <c r="A619" s="167"/>
      <c r="B619" s="166" t="s">
        <v>216</v>
      </c>
      <c r="C619" s="126">
        <f>5900000+300000</f>
        <v>6200000</v>
      </c>
      <c r="D619" s="130">
        <f>5900000+300000-300000+2000000</f>
        <v>7900000</v>
      </c>
      <c r="E619" s="130">
        <v>7664770</v>
      </c>
      <c r="F619" s="130"/>
      <c r="G619" s="130">
        <f t="shared" si="182"/>
        <v>123.62532258064516</v>
      </c>
      <c r="H619" s="130">
        <f t="shared" si="180"/>
        <v>97.022405063291146</v>
      </c>
      <c r="I619" s="130">
        <f t="shared" si="181"/>
        <v>140.99018859476072</v>
      </c>
      <c r="J619" s="6">
        <v>5436385.3799999999</v>
      </c>
    </row>
    <row r="620" spans="1:10" x14ac:dyDescent="0.2">
      <c r="A620" s="124">
        <v>6330</v>
      </c>
      <c r="B620" s="123" t="s">
        <v>215</v>
      </c>
      <c r="C620" s="120">
        <v>5900000</v>
      </c>
      <c r="D620" s="120">
        <v>5900000</v>
      </c>
      <c r="E620" s="120">
        <v>5900000</v>
      </c>
      <c r="F620" s="126"/>
      <c r="G620" s="120">
        <f t="shared" si="182"/>
        <v>100</v>
      </c>
      <c r="H620" s="120">
        <f t="shared" si="180"/>
        <v>100</v>
      </c>
      <c r="I620" s="120">
        <f t="shared" si="181"/>
        <v>96.967672471957414</v>
      </c>
      <c r="J620" s="14">
        <v>6084502.0300000003</v>
      </c>
    </row>
    <row r="621" spans="1:10" ht="13.5" thickBot="1" x14ac:dyDescent="0.25">
      <c r="A621" s="165"/>
      <c r="B621" s="164"/>
      <c r="C621" s="151"/>
      <c r="D621" s="151"/>
      <c r="E621" s="117"/>
      <c r="F621" s="117"/>
      <c r="G621" s="486"/>
      <c r="H621" s="486"/>
      <c r="I621" s="486"/>
      <c r="J621" s="14"/>
    </row>
    <row r="622" spans="1:10" ht="21" thickBot="1" x14ac:dyDescent="0.35">
      <c r="A622" s="140"/>
      <c r="B622" s="139" t="s">
        <v>214</v>
      </c>
      <c r="C622" s="552">
        <f>C623+C649</f>
        <v>10937288</v>
      </c>
      <c r="D622" s="552">
        <f>D623+D649</f>
        <v>10885956</v>
      </c>
      <c r="E622" s="242">
        <v>9867099.8399999999</v>
      </c>
      <c r="F622" s="705">
        <f>SUM(E623,E649)</f>
        <v>9867099.8399999999</v>
      </c>
      <c r="G622" s="571">
        <f>E622/C622*100</f>
        <v>90.215232880399597</v>
      </c>
      <c r="H622" s="181">
        <f t="shared" si="180"/>
        <v>90.640636798458488</v>
      </c>
      <c r="I622" s="181">
        <f t="shared" si="181"/>
        <v>113.16051643762697</v>
      </c>
      <c r="J622" s="14">
        <v>8719560.6300000008</v>
      </c>
    </row>
    <row r="623" spans="1:10" ht="16.5" thickBot="1" x14ac:dyDescent="0.3">
      <c r="A623" s="140"/>
      <c r="B623" s="158" t="s">
        <v>213</v>
      </c>
      <c r="C623" s="163">
        <f>C624+C625+C626+C627+C630+C633+C635+C637+C639+C641+C643+C648</f>
        <v>3067000</v>
      </c>
      <c r="D623" s="163">
        <f>D624+D625+D626+D627+D630+D633+D635+D637+D639+D641+D643+D648</f>
        <v>3015668</v>
      </c>
      <c r="E623" s="479">
        <v>2588539.84</v>
      </c>
      <c r="F623" s="317">
        <f>SUM(E624:E627,E630,E633,E635,E637,E639,E641,E643,E648)</f>
        <v>2588539.84</v>
      </c>
      <c r="G623" s="479">
        <f>E623/C623*100</f>
        <v>84.399733941962836</v>
      </c>
      <c r="H623" s="479">
        <f t="shared" si="180"/>
        <v>85.836366602689679</v>
      </c>
      <c r="I623" s="479">
        <f t="shared" si="181"/>
        <v>98.078368377538183</v>
      </c>
      <c r="J623" s="14">
        <v>2639256.63</v>
      </c>
    </row>
    <row r="624" spans="1:10" x14ac:dyDescent="0.2">
      <c r="A624" s="124">
        <v>2293</v>
      </c>
      <c r="B624" s="123" t="s">
        <v>212</v>
      </c>
      <c r="C624" s="120">
        <v>726000</v>
      </c>
      <c r="D624" s="120">
        <v>726000</v>
      </c>
      <c r="E624" s="527">
        <v>726000</v>
      </c>
      <c r="F624" s="528">
        <f>E623-F623</f>
        <v>0</v>
      </c>
      <c r="G624" s="120">
        <f t="shared" ref="G624:G657" si="183">E624/C624*100</f>
        <v>100</v>
      </c>
      <c r="H624" s="120">
        <f t="shared" si="180"/>
        <v>100</v>
      </c>
      <c r="I624" s="120">
        <f t="shared" si="181"/>
        <v>102.46040455770975</v>
      </c>
      <c r="J624" s="14">
        <v>708566.4</v>
      </c>
    </row>
    <row r="625" spans="1:10" x14ac:dyDescent="0.2">
      <c r="A625" s="124">
        <v>3613</v>
      </c>
      <c r="B625" s="123" t="s">
        <v>211</v>
      </c>
      <c r="C625" s="120">
        <v>3000</v>
      </c>
      <c r="D625" s="120">
        <v>3000</v>
      </c>
      <c r="E625" s="120">
        <v>0</v>
      </c>
      <c r="F625" s="126"/>
      <c r="G625" s="120">
        <f t="shared" si="183"/>
        <v>0</v>
      </c>
      <c r="H625" s="120">
        <f t="shared" si="180"/>
        <v>0</v>
      </c>
      <c r="I625" s="120">
        <v>0</v>
      </c>
      <c r="J625" s="14">
        <v>0</v>
      </c>
    </row>
    <row r="626" spans="1:10" s="17" customFormat="1" ht="15.75" x14ac:dyDescent="0.25">
      <c r="A626" s="124">
        <v>3632</v>
      </c>
      <c r="B626" s="123" t="s">
        <v>210</v>
      </c>
      <c r="C626" s="120">
        <v>130000</v>
      </c>
      <c r="D626" s="120">
        <v>130000</v>
      </c>
      <c r="E626" s="121">
        <v>90504.88</v>
      </c>
      <c r="F626" s="130"/>
      <c r="G626" s="120">
        <f t="shared" si="183"/>
        <v>69.619138461538469</v>
      </c>
      <c r="H626" s="120">
        <f>E626/D626*100</f>
        <v>69.619138461538469</v>
      </c>
      <c r="I626" s="120">
        <f t="shared" si="181"/>
        <v>62.28520848040683</v>
      </c>
      <c r="J626" s="14">
        <v>145307.18</v>
      </c>
    </row>
    <row r="627" spans="1:10" s="17" customFormat="1" ht="12.75" customHeight="1" x14ac:dyDescent="0.25">
      <c r="A627" s="124">
        <v>4329</v>
      </c>
      <c r="B627" s="123" t="s">
        <v>209</v>
      </c>
      <c r="C627" s="122">
        <f>SUM(C628:C629)</f>
        <v>205000</v>
      </c>
      <c r="D627" s="122">
        <f>SUM(D628:D629)</f>
        <v>253668</v>
      </c>
      <c r="E627" s="121">
        <v>206468</v>
      </c>
      <c r="F627" s="130">
        <f>SUM(E628:E629)</f>
        <v>206468</v>
      </c>
      <c r="G627" s="120">
        <f t="shared" si="183"/>
        <v>100.71609756097561</v>
      </c>
      <c r="H627" s="120">
        <f t="shared" si="180"/>
        <v>81.393001876468446</v>
      </c>
      <c r="I627" s="120">
        <f t="shared" si="181"/>
        <v>99.199554133394827</v>
      </c>
      <c r="J627" s="14">
        <v>208134</v>
      </c>
    </row>
    <row r="628" spans="1:10" s="3" customFormat="1" x14ac:dyDescent="0.2">
      <c r="A628" s="124"/>
      <c r="B628" s="131" t="s">
        <v>208</v>
      </c>
      <c r="C628" s="126">
        <v>5000</v>
      </c>
      <c r="D628" s="9">
        <f>5000-1332</f>
        <v>3668</v>
      </c>
      <c r="E628" s="130">
        <v>3668</v>
      </c>
      <c r="F628" s="130"/>
      <c r="G628" s="126">
        <f t="shared" si="183"/>
        <v>73.36</v>
      </c>
      <c r="H628" s="126">
        <f t="shared" si="180"/>
        <v>100</v>
      </c>
      <c r="I628" s="126">
        <f t="shared" si="181"/>
        <v>134.16239941477687</v>
      </c>
      <c r="J628" s="14">
        <v>2734</v>
      </c>
    </row>
    <row r="629" spans="1:10" s="3" customFormat="1" x14ac:dyDescent="0.2">
      <c r="A629" s="124"/>
      <c r="B629" s="131" t="s">
        <v>207</v>
      </c>
      <c r="C629" s="126">
        <v>200000</v>
      </c>
      <c r="D629" s="126">
        <f>200000+50000</f>
        <v>250000</v>
      </c>
      <c r="E629" s="130">
        <v>202800</v>
      </c>
      <c r="F629" s="130"/>
      <c r="G629" s="126">
        <f t="shared" si="183"/>
        <v>101.4</v>
      </c>
      <c r="H629" s="126">
        <f t="shared" si="180"/>
        <v>81.12</v>
      </c>
      <c r="I629" s="126">
        <f t="shared" si="181"/>
        <v>100</v>
      </c>
      <c r="J629" s="14">
        <v>202800</v>
      </c>
    </row>
    <row r="630" spans="1:10" s="3" customFormat="1" x14ac:dyDescent="0.2">
      <c r="A630" s="124">
        <v>4339</v>
      </c>
      <c r="B630" s="123" t="s">
        <v>206</v>
      </c>
      <c r="C630" s="122">
        <f>SUM(C631:C632)</f>
        <v>0</v>
      </c>
      <c r="D630" s="122">
        <f>SUM(D631:D632)</f>
        <v>0</v>
      </c>
      <c r="E630" s="121">
        <v>0</v>
      </c>
      <c r="F630" s="130"/>
      <c r="G630" s="120">
        <v>0</v>
      </c>
      <c r="H630" s="120">
        <v>0</v>
      </c>
      <c r="I630" s="120">
        <v>0</v>
      </c>
      <c r="J630" s="14">
        <v>0</v>
      </c>
    </row>
    <row r="631" spans="1:10" s="3" customFormat="1" x14ac:dyDescent="0.2">
      <c r="A631" s="124"/>
      <c r="B631" s="131" t="s">
        <v>205</v>
      </c>
      <c r="C631" s="126">
        <v>0</v>
      </c>
      <c r="D631" s="126">
        <v>0</v>
      </c>
      <c r="E631" s="130">
        <v>0</v>
      </c>
      <c r="F631" s="130"/>
      <c r="G631" s="126">
        <v>0</v>
      </c>
      <c r="H631" s="126">
        <v>0</v>
      </c>
      <c r="I631" s="126">
        <v>0</v>
      </c>
      <c r="J631" s="14">
        <v>0</v>
      </c>
    </row>
    <row r="632" spans="1:10" s="3" customFormat="1" x14ac:dyDescent="0.2">
      <c r="A632" s="124"/>
      <c r="B632" s="131" t="s">
        <v>998</v>
      </c>
      <c r="C632" s="126">
        <v>0</v>
      </c>
      <c r="D632" s="126">
        <f>5000-5000</f>
        <v>0</v>
      </c>
      <c r="E632" s="130">
        <v>0</v>
      </c>
      <c r="F632" s="130"/>
      <c r="G632" s="126">
        <v>0</v>
      </c>
      <c r="H632" s="126">
        <v>0</v>
      </c>
      <c r="I632" s="126">
        <v>0</v>
      </c>
      <c r="J632" s="14">
        <v>0</v>
      </c>
    </row>
    <row r="633" spans="1:10" s="3" customFormat="1" x14ac:dyDescent="0.2">
      <c r="A633" s="124">
        <v>4344</v>
      </c>
      <c r="B633" s="123" t="s">
        <v>204</v>
      </c>
      <c r="C633" s="122">
        <f>SUM(C634:C634)</f>
        <v>298000</v>
      </c>
      <c r="D633" s="122">
        <f>SUM(D634:D634)</f>
        <v>298000</v>
      </c>
      <c r="E633" s="134">
        <v>293500</v>
      </c>
      <c r="F633" s="117"/>
      <c r="G633" s="120">
        <f t="shared" si="183"/>
        <v>98.489932885906043</v>
      </c>
      <c r="H633" s="120">
        <f t="shared" si="180"/>
        <v>98.489932885906043</v>
      </c>
      <c r="I633" s="120">
        <f t="shared" ref="I633:I634" si="184">E633/J633*100</f>
        <v>100</v>
      </c>
      <c r="J633" s="14">
        <v>293500</v>
      </c>
    </row>
    <row r="634" spans="1:10" s="3" customFormat="1" x14ac:dyDescent="0.2">
      <c r="A634" s="132"/>
      <c r="B634" s="123" t="s">
        <v>203</v>
      </c>
      <c r="C634" s="126">
        <v>298000</v>
      </c>
      <c r="D634" s="126">
        <v>298000</v>
      </c>
      <c r="E634" s="117">
        <v>293500</v>
      </c>
      <c r="F634" s="117"/>
      <c r="G634" s="126">
        <f t="shared" si="183"/>
        <v>98.489932885906043</v>
      </c>
      <c r="H634" s="126">
        <f t="shared" si="180"/>
        <v>98.489932885906043</v>
      </c>
      <c r="I634" s="126">
        <f t="shared" si="184"/>
        <v>100</v>
      </c>
      <c r="J634" s="14">
        <v>293500</v>
      </c>
    </row>
    <row r="635" spans="1:10" x14ac:dyDescent="0.2">
      <c r="A635" s="124">
        <v>4349</v>
      </c>
      <c r="B635" s="123" t="s">
        <v>202</v>
      </c>
      <c r="C635" s="122">
        <f>SUM(C636:C636)</f>
        <v>250000</v>
      </c>
      <c r="D635" s="122">
        <f>SUM(D636:D636)</f>
        <v>150000</v>
      </c>
      <c r="E635" s="122">
        <v>6803</v>
      </c>
      <c r="F635" s="10"/>
      <c r="G635" s="120">
        <f t="shared" si="183"/>
        <v>2.7212000000000001</v>
      </c>
      <c r="H635" s="120">
        <f t="shared" si="180"/>
        <v>4.5353333333333339</v>
      </c>
      <c r="I635" s="120">
        <v>0</v>
      </c>
      <c r="J635" s="14">
        <v>0</v>
      </c>
    </row>
    <row r="636" spans="1:10" x14ac:dyDescent="0.2">
      <c r="A636" s="132"/>
      <c r="B636" s="155" t="s">
        <v>201</v>
      </c>
      <c r="C636" s="126">
        <v>250000</v>
      </c>
      <c r="D636" s="126">
        <f>250000-100000</f>
        <v>150000</v>
      </c>
      <c r="E636" s="133">
        <v>6803</v>
      </c>
      <c r="F636" s="133"/>
      <c r="G636" s="126">
        <f t="shared" si="183"/>
        <v>2.7212000000000001</v>
      </c>
      <c r="H636" s="126">
        <f>E636/D636*100</f>
        <v>4.5353333333333339</v>
      </c>
      <c r="I636" s="126">
        <v>0</v>
      </c>
      <c r="J636" s="14">
        <v>0</v>
      </c>
    </row>
    <row r="637" spans="1:10" x14ac:dyDescent="0.2">
      <c r="A637" s="124">
        <v>4351</v>
      </c>
      <c r="B637" s="123" t="s">
        <v>200</v>
      </c>
      <c r="C637" s="122">
        <f>SUM(C638:C638)</f>
        <v>35000</v>
      </c>
      <c r="D637" s="122">
        <f>SUM(D638:D638)</f>
        <v>35000</v>
      </c>
      <c r="E637" s="120">
        <v>35000</v>
      </c>
      <c r="F637" s="126"/>
      <c r="G637" s="120">
        <f t="shared" si="183"/>
        <v>100</v>
      </c>
      <c r="H637" s="120">
        <f t="shared" si="180"/>
        <v>100</v>
      </c>
      <c r="I637" s="120">
        <f t="shared" ref="I637:I638" si="185">E637/J637*100</f>
        <v>100</v>
      </c>
      <c r="J637" s="6">
        <v>35000</v>
      </c>
    </row>
    <row r="638" spans="1:10" s="3" customFormat="1" x14ac:dyDescent="0.2">
      <c r="A638" s="132"/>
      <c r="B638" s="131" t="s">
        <v>198</v>
      </c>
      <c r="C638" s="126">
        <v>35000</v>
      </c>
      <c r="D638" s="126">
        <v>35000</v>
      </c>
      <c r="E638" s="130">
        <v>35000</v>
      </c>
      <c r="F638" s="130"/>
      <c r="G638" s="126">
        <f t="shared" si="183"/>
        <v>100</v>
      </c>
      <c r="H638" s="126">
        <f t="shared" si="180"/>
        <v>100</v>
      </c>
      <c r="I638" s="126">
        <f t="shared" si="185"/>
        <v>100</v>
      </c>
      <c r="J638" s="129">
        <v>35000</v>
      </c>
    </row>
    <row r="639" spans="1:10" x14ac:dyDescent="0.2">
      <c r="A639" s="124">
        <v>4371</v>
      </c>
      <c r="B639" s="123" t="s">
        <v>199</v>
      </c>
      <c r="C639" s="122">
        <f>SUM(C640:C640)</f>
        <v>240000</v>
      </c>
      <c r="D639" s="122">
        <f>SUM(D640:D640)</f>
        <v>240000</v>
      </c>
      <c r="E639" s="120">
        <v>233000</v>
      </c>
      <c r="F639" s="126"/>
      <c r="G639" s="120">
        <f t="shared" si="183"/>
        <v>97.083333333333329</v>
      </c>
      <c r="H639" s="120">
        <f t="shared" si="180"/>
        <v>97.083333333333329</v>
      </c>
      <c r="I639" s="120">
        <f t="shared" ref="I639:I640" si="186">E639/J639*100</f>
        <v>100</v>
      </c>
      <c r="J639" s="125">
        <v>233000</v>
      </c>
    </row>
    <row r="640" spans="1:10" x14ac:dyDescent="0.2">
      <c r="A640" s="132"/>
      <c r="B640" s="131" t="s">
        <v>198</v>
      </c>
      <c r="C640" s="126">
        <v>240000</v>
      </c>
      <c r="D640" s="126">
        <v>240000</v>
      </c>
      <c r="E640" s="130">
        <v>233000</v>
      </c>
      <c r="F640" s="130"/>
      <c r="G640" s="126">
        <f t="shared" si="183"/>
        <v>97.083333333333329</v>
      </c>
      <c r="H640" s="126">
        <f>E640/D640*100</f>
        <v>97.083333333333329</v>
      </c>
      <c r="I640" s="126">
        <f t="shared" si="186"/>
        <v>100</v>
      </c>
      <c r="J640" s="14">
        <v>233000</v>
      </c>
    </row>
    <row r="641" spans="1:10" s="3" customFormat="1" x14ac:dyDescent="0.2">
      <c r="A641" s="124">
        <v>4374</v>
      </c>
      <c r="B641" s="161" t="s">
        <v>39</v>
      </c>
      <c r="C641" s="122">
        <f>SUM(C642:C642)</f>
        <v>822000</v>
      </c>
      <c r="D641" s="122">
        <f>SUM(D642:D642)</f>
        <v>822000</v>
      </c>
      <c r="E641" s="121">
        <v>822000</v>
      </c>
      <c r="F641" s="130"/>
      <c r="G641" s="120">
        <f t="shared" si="183"/>
        <v>100</v>
      </c>
      <c r="H641" s="120">
        <f>E641/D641*100</f>
        <v>100</v>
      </c>
      <c r="I641" s="120">
        <f t="shared" ref="I641:I642" si="187">E641/J641*100</f>
        <v>100</v>
      </c>
      <c r="J641" s="14">
        <v>822000</v>
      </c>
    </row>
    <row r="642" spans="1:10" x14ac:dyDescent="0.2">
      <c r="A642" s="132"/>
      <c r="B642" s="131" t="s">
        <v>198</v>
      </c>
      <c r="C642" s="126">
        <v>822000</v>
      </c>
      <c r="D642" s="126">
        <v>822000</v>
      </c>
      <c r="E642" s="130">
        <v>822000</v>
      </c>
      <c r="F642" s="130"/>
      <c r="G642" s="126">
        <f t="shared" si="183"/>
        <v>100</v>
      </c>
      <c r="H642" s="126">
        <f>E642/D642*100</f>
        <v>100</v>
      </c>
      <c r="I642" s="120">
        <f t="shared" si="187"/>
        <v>100</v>
      </c>
      <c r="J642" s="14">
        <v>822000</v>
      </c>
    </row>
    <row r="643" spans="1:10" s="3" customFormat="1" x14ac:dyDescent="0.2">
      <c r="A643" s="124">
        <v>4379</v>
      </c>
      <c r="B643" s="123" t="s">
        <v>197</v>
      </c>
      <c r="C643" s="122">
        <f>SUM(C644:C647)</f>
        <v>345000</v>
      </c>
      <c r="D643" s="122">
        <f>SUM(D644:D647)</f>
        <v>345000</v>
      </c>
      <c r="E643" s="121">
        <v>167581.51</v>
      </c>
      <c r="F643" s="130">
        <f>SUM(E644:E647)</f>
        <v>167581.51</v>
      </c>
      <c r="G643" s="120">
        <f t="shared" si="183"/>
        <v>48.574350724637682</v>
      </c>
      <c r="H643" s="121">
        <f t="shared" ref="H643:H682" si="188">E643/D643*100</f>
        <v>48.574350724637682</v>
      </c>
      <c r="I643" s="121">
        <f t="shared" ref="I643:I682" si="189">E643/J643*100</f>
        <v>92.188130304806165</v>
      </c>
      <c r="J643" s="125">
        <v>181782.09</v>
      </c>
    </row>
    <row r="644" spans="1:10" x14ac:dyDescent="0.2">
      <c r="A644" s="132"/>
      <c r="B644" s="155" t="s">
        <v>196</v>
      </c>
      <c r="C644" s="126">
        <v>232000</v>
      </c>
      <c r="D644" s="126">
        <v>232000</v>
      </c>
      <c r="E644" s="126">
        <v>99264.52</v>
      </c>
      <c r="F644" s="126"/>
      <c r="G644" s="126">
        <f t="shared" si="183"/>
        <v>42.78643103448276</v>
      </c>
      <c r="H644" s="126">
        <f t="shared" si="188"/>
        <v>42.78643103448276</v>
      </c>
      <c r="I644" s="126">
        <f t="shared" si="189"/>
        <v>87.40543762806216</v>
      </c>
      <c r="J644" s="14">
        <v>113567.9</v>
      </c>
    </row>
    <row r="645" spans="1:10" s="160" customFormat="1" x14ac:dyDescent="0.2">
      <c r="A645" s="132"/>
      <c r="B645" s="155" t="s">
        <v>195</v>
      </c>
      <c r="C645" s="126">
        <v>59000</v>
      </c>
      <c r="D645" s="126">
        <v>59000</v>
      </c>
      <c r="E645" s="130">
        <v>36868.82</v>
      </c>
      <c r="F645" s="130"/>
      <c r="G645" s="126">
        <f t="shared" si="183"/>
        <v>62.489525423728807</v>
      </c>
      <c r="H645" s="126">
        <f t="shared" si="188"/>
        <v>62.489525423728807</v>
      </c>
      <c r="I645" s="126">
        <f t="shared" si="189"/>
        <v>112.18201147840968</v>
      </c>
      <c r="J645" s="14">
        <v>32865.18</v>
      </c>
    </row>
    <row r="646" spans="1:10" x14ac:dyDescent="0.2">
      <c r="A646" s="132"/>
      <c r="B646" s="155" t="s">
        <v>194</v>
      </c>
      <c r="C646" s="126">
        <v>44000</v>
      </c>
      <c r="D646" s="126">
        <v>44000</v>
      </c>
      <c r="E646" s="130">
        <v>31448.17</v>
      </c>
      <c r="F646" s="130"/>
      <c r="G646" s="126">
        <f t="shared" si="183"/>
        <v>71.473113636363621</v>
      </c>
      <c r="H646" s="126">
        <f t="shared" si="188"/>
        <v>71.473113636363621</v>
      </c>
      <c r="I646" s="126">
        <f t="shared" si="189"/>
        <v>88.964782889252049</v>
      </c>
      <c r="J646" s="14">
        <v>35349.01</v>
      </c>
    </row>
    <row r="647" spans="1:10" s="3" customFormat="1" x14ac:dyDescent="0.2">
      <c r="A647" s="132"/>
      <c r="B647" s="155" t="s">
        <v>193</v>
      </c>
      <c r="C647" s="126">
        <v>10000</v>
      </c>
      <c r="D647" s="126">
        <v>10000</v>
      </c>
      <c r="E647" s="130">
        <v>0</v>
      </c>
      <c r="F647" s="130"/>
      <c r="G647" s="126">
        <f t="shared" si="183"/>
        <v>0</v>
      </c>
      <c r="H647" s="126">
        <f t="shared" si="188"/>
        <v>0</v>
      </c>
      <c r="I647" s="126">
        <v>0</v>
      </c>
      <c r="J647" s="14">
        <v>0</v>
      </c>
    </row>
    <row r="648" spans="1:10" ht="26.25" customHeight="1" thickBot="1" x14ac:dyDescent="0.25">
      <c r="A648" s="124">
        <v>4399</v>
      </c>
      <c r="B648" s="135" t="s">
        <v>968</v>
      </c>
      <c r="C648" s="120">
        <v>13000</v>
      </c>
      <c r="D648" s="120">
        <f>13000</f>
        <v>13000</v>
      </c>
      <c r="E648" s="121">
        <v>7682.45</v>
      </c>
      <c r="F648" s="130"/>
      <c r="G648" s="120">
        <f t="shared" si="183"/>
        <v>59.095769230769221</v>
      </c>
      <c r="H648" s="486">
        <f>E648/D648*100</f>
        <v>59.095769230769221</v>
      </c>
      <c r="I648" s="120">
        <f t="shared" si="189"/>
        <v>64.197172882670287</v>
      </c>
      <c r="J648" s="6">
        <v>11966.96</v>
      </c>
    </row>
    <row r="649" spans="1:10" ht="16.5" thickBot="1" x14ac:dyDescent="0.3">
      <c r="A649" s="140"/>
      <c r="B649" s="158" t="s">
        <v>191</v>
      </c>
      <c r="C649" s="157">
        <f>C650</f>
        <v>7870288</v>
      </c>
      <c r="D649" s="157">
        <f>D650</f>
        <v>7870288</v>
      </c>
      <c r="E649" s="479">
        <v>7278560</v>
      </c>
      <c r="F649" s="317">
        <f>E650</f>
        <v>7278560</v>
      </c>
      <c r="G649" s="479">
        <f>E649/C649*100</f>
        <v>92.481494959269597</v>
      </c>
      <c r="H649" s="479">
        <f t="shared" si="188"/>
        <v>92.481494959269597</v>
      </c>
      <c r="I649" s="479">
        <f t="shared" si="189"/>
        <v>119.70717253611002</v>
      </c>
      <c r="J649" s="14">
        <v>6080304</v>
      </c>
    </row>
    <row r="650" spans="1:10" x14ac:dyDescent="0.2">
      <c r="A650" s="156"/>
      <c r="B650" s="137" t="s">
        <v>190</v>
      </c>
      <c r="C650" s="122">
        <f>SUM(C651:C658)</f>
        <v>7870288</v>
      </c>
      <c r="D650" s="122">
        <f>SUM(D651:D658)</f>
        <v>7870288</v>
      </c>
      <c r="E650" s="120">
        <v>7278560</v>
      </c>
      <c r="F650" s="126">
        <f>SUM(E651:E658)</f>
        <v>7278560</v>
      </c>
      <c r="G650" s="120">
        <f t="shared" si="183"/>
        <v>92.481494959269597</v>
      </c>
      <c r="H650" s="120">
        <f t="shared" si="188"/>
        <v>92.481494959269597</v>
      </c>
      <c r="I650" s="120">
        <f t="shared" si="189"/>
        <v>236.29356063557364</v>
      </c>
      <c r="J650" s="14">
        <v>3080304</v>
      </c>
    </row>
    <row r="651" spans="1:10" s="3" customFormat="1" x14ac:dyDescent="0.2">
      <c r="A651" s="156"/>
      <c r="B651" s="155" t="s">
        <v>189</v>
      </c>
      <c r="C651" s="126">
        <v>190000</v>
      </c>
      <c r="D651" s="126">
        <v>190000</v>
      </c>
      <c r="E651" s="130">
        <v>122600</v>
      </c>
      <c r="F651" s="130"/>
      <c r="G651" s="126">
        <f t="shared" si="183"/>
        <v>64.526315789473685</v>
      </c>
      <c r="H651" s="126">
        <f t="shared" si="188"/>
        <v>64.526315789473685</v>
      </c>
      <c r="I651" s="126">
        <f t="shared" si="189"/>
        <v>90.81481481481481</v>
      </c>
      <c r="J651" s="14">
        <v>135000</v>
      </c>
    </row>
    <row r="652" spans="1:10" x14ac:dyDescent="0.2">
      <c r="A652" s="156"/>
      <c r="B652" s="155" t="s">
        <v>188</v>
      </c>
      <c r="C652" s="126">
        <v>170000</v>
      </c>
      <c r="D652" s="126">
        <v>170000</v>
      </c>
      <c r="E652" s="130">
        <v>98300</v>
      </c>
      <c r="F652" s="130"/>
      <c r="G652" s="126">
        <f t="shared" si="183"/>
        <v>57.82352941176471</v>
      </c>
      <c r="H652" s="126">
        <f t="shared" si="188"/>
        <v>57.82352941176471</v>
      </c>
      <c r="I652" s="126">
        <f t="shared" si="189"/>
        <v>119.8780487804878</v>
      </c>
      <c r="J652" s="14">
        <v>82000</v>
      </c>
    </row>
    <row r="653" spans="1:10" x14ac:dyDescent="0.2">
      <c r="A653" s="156"/>
      <c r="B653" s="155" t="s">
        <v>187</v>
      </c>
      <c r="C653" s="126">
        <v>5594688</v>
      </c>
      <c r="D653" s="126">
        <f>5594688-47000</f>
        <v>5547688</v>
      </c>
      <c r="E653" s="130">
        <v>5301600</v>
      </c>
      <c r="F653" s="130"/>
      <c r="G653" s="126">
        <f t="shared" si="183"/>
        <v>94.761316448745674</v>
      </c>
      <c r="H653" s="126">
        <f t="shared" si="188"/>
        <v>95.564134104152942</v>
      </c>
      <c r="I653" s="126">
        <f t="shared" si="189"/>
        <v>106.99711396799128</v>
      </c>
      <c r="J653" s="14">
        <v>4954900</v>
      </c>
    </row>
    <row r="654" spans="1:10" x14ac:dyDescent="0.2">
      <c r="A654" s="156"/>
      <c r="B654" s="155" t="s">
        <v>186</v>
      </c>
      <c r="C654" s="126">
        <v>1217600</v>
      </c>
      <c r="D654" s="126">
        <v>1217600</v>
      </c>
      <c r="E654" s="130">
        <v>1208900</v>
      </c>
      <c r="F654" s="130"/>
      <c r="G654" s="126">
        <f t="shared" si="183"/>
        <v>99.285479632063073</v>
      </c>
      <c r="H654" s="126">
        <f t="shared" si="188"/>
        <v>99.285479632063073</v>
      </c>
      <c r="I654" s="126">
        <f t="shared" si="189"/>
        <v>305.20070689219898</v>
      </c>
      <c r="J654" s="14">
        <v>396100</v>
      </c>
    </row>
    <row r="655" spans="1:10" x14ac:dyDescent="0.2">
      <c r="A655" s="156"/>
      <c r="B655" s="155" t="s">
        <v>185</v>
      </c>
      <c r="C655" s="126">
        <v>298000</v>
      </c>
      <c r="D655" s="126">
        <f>298000-12000-15000-10000-45000</f>
        <v>216000</v>
      </c>
      <c r="E655" s="130">
        <v>120000</v>
      </c>
      <c r="F655" s="130"/>
      <c r="G655" s="126">
        <f t="shared" si="183"/>
        <v>40.268456375838923</v>
      </c>
      <c r="H655" s="126">
        <f t="shared" si="188"/>
        <v>55.555555555555557</v>
      </c>
      <c r="I655" s="126">
        <f t="shared" si="189"/>
        <v>100</v>
      </c>
      <c r="J655" s="14">
        <v>120000</v>
      </c>
    </row>
    <row r="656" spans="1:10" x14ac:dyDescent="0.2">
      <c r="A656" s="156"/>
      <c r="B656" s="155" t="s">
        <v>184</v>
      </c>
      <c r="C656" s="126">
        <v>250000</v>
      </c>
      <c r="D656" s="126">
        <v>250000</v>
      </c>
      <c r="E656" s="130">
        <v>190000</v>
      </c>
      <c r="F656" s="130"/>
      <c r="G656" s="126">
        <f t="shared" si="183"/>
        <v>76</v>
      </c>
      <c r="H656" s="126">
        <f t="shared" si="188"/>
        <v>76</v>
      </c>
      <c r="I656" s="126">
        <f t="shared" si="189"/>
        <v>105.55555555555556</v>
      </c>
      <c r="J656" s="14">
        <v>180000</v>
      </c>
    </row>
    <row r="657" spans="1:10" x14ac:dyDescent="0.2">
      <c r="A657" s="124"/>
      <c r="B657" s="155" t="s">
        <v>183</v>
      </c>
      <c r="C657" s="126">
        <v>150000</v>
      </c>
      <c r="D657" s="126">
        <v>150000</v>
      </c>
      <c r="E657" s="126">
        <v>108160</v>
      </c>
      <c r="F657" s="126"/>
      <c r="G657" s="126">
        <f t="shared" si="183"/>
        <v>72.106666666666669</v>
      </c>
      <c r="H657" s="126">
        <f t="shared" si="188"/>
        <v>72.106666666666669</v>
      </c>
      <c r="I657" s="126">
        <f t="shared" si="189"/>
        <v>89.164413374662004</v>
      </c>
      <c r="J657" s="6">
        <v>121304</v>
      </c>
    </row>
    <row r="658" spans="1:10" x14ac:dyDescent="0.2">
      <c r="A658" s="124"/>
      <c r="B658" s="154" t="s">
        <v>182</v>
      </c>
      <c r="C658" s="126">
        <v>0</v>
      </c>
      <c r="D658" s="126">
        <f>12000+15000+10000+45000+47000</f>
        <v>129000</v>
      </c>
      <c r="E658" s="130">
        <v>129000</v>
      </c>
      <c r="F658" s="130"/>
      <c r="G658" s="126">
        <v>0</v>
      </c>
      <c r="H658" s="126">
        <f t="shared" si="188"/>
        <v>100</v>
      </c>
      <c r="I658" s="126">
        <f t="shared" si="189"/>
        <v>141.75824175824175</v>
      </c>
      <c r="J658" s="14">
        <v>91000</v>
      </c>
    </row>
    <row r="659" spans="1:10" ht="13.5" thickBot="1" x14ac:dyDescent="0.25">
      <c r="A659" s="143"/>
      <c r="B659" s="153"/>
      <c r="C659" s="151"/>
      <c r="D659" s="151"/>
      <c r="E659" s="117"/>
      <c r="F659" s="117"/>
      <c r="G659" s="151"/>
      <c r="H659" s="151"/>
      <c r="I659" s="151"/>
      <c r="J659" s="14"/>
    </row>
    <row r="660" spans="1:10" ht="21" thickBot="1" x14ac:dyDescent="0.25">
      <c r="A660" s="143"/>
      <c r="B660" s="150" t="s">
        <v>181</v>
      </c>
      <c r="C660" s="242">
        <f>C661</f>
        <v>13505100</v>
      </c>
      <c r="D660" s="242">
        <f>D661</f>
        <v>20952447</v>
      </c>
      <c r="E660" s="181">
        <v>15420188.73</v>
      </c>
      <c r="F660" s="317">
        <f>E661</f>
        <v>15420188.73</v>
      </c>
      <c r="G660" s="571">
        <f>E660/C660*100</f>
        <v>114.18048537219275</v>
      </c>
      <c r="H660" s="181">
        <f t="shared" si="188"/>
        <v>73.596123307220395</v>
      </c>
      <c r="I660" s="181">
        <f t="shared" si="189"/>
        <v>121.66266676878526</v>
      </c>
      <c r="J660" s="6">
        <v>12674544.41</v>
      </c>
    </row>
    <row r="661" spans="1:10" x14ac:dyDescent="0.2">
      <c r="A661" s="119">
        <v>4351</v>
      </c>
      <c r="B661" s="149" t="s">
        <v>180</v>
      </c>
      <c r="C661" s="148">
        <f>SUM(C662:C664)</f>
        <v>13505100</v>
      </c>
      <c r="D661" s="148">
        <f>SUM(D662:D664)</f>
        <v>20952447</v>
      </c>
      <c r="E661" s="120">
        <v>15420188.73</v>
      </c>
      <c r="F661" s="126">
        <f>SUM(E662:E664)</f>
        <v>15420188.73</v>
      </c>
      <c r="G661" s="120">
        <f t="shared" ref="G661:G664" si="190">E661/C661*100</f>
        <v>114.18048537219275</v>
      </c>
      <c r="H661" s="120">
        <f t="shared" si="188"/>
        <v>73.596123307220395</v>
      </c>
      <c r="I661" s="120">
        <f t="shared" si="189"/>
        <v>121.66266676878526</v>
      </c>
      <c r="J661" s="201">
        <v>12674544.41</v>
      </c>
    </row>
    <row r="662" spans="1:10" ht="60" x14ac:dyDescent="0.2">
      <c r="A662" s="132"/>
      <c r="B662" s="146" t="s">
        <v>179</v>
      </c>
      <c r="C662" s="145">
        <v>6835500</v>
      </c>
      <c r="D662" s="145">
        <f>6835500+(541000+2820000)+635148+40950-50000+23000+16292</f>
        <v>10861890</v>
      </c>
      <c r="E662" s="130">
        <v>7602306.3700000001</v>
      </c>
      <c r="F662" s="130"/>
      <c r="G662" s="126">
        <f t="shared" si="190"/>
        <v>111.21799970740985</v>
      </c>
      <c r="H662" s="126">
        <f t="shared" si="188"/>
        <v>69.990640394995722</v>
      </c>
      <c r="I662" s="126">
        <f t="shared" si="189"/>
        <v>125.05608494964579</v>
      </c>
      <c r="J662" s="125">
        <v>6079117.5199999996</v>
      </c>
    </row>
    <row r="663" spans="1:10" ht="48" x14ac:dyDescent="0.2">
      <c r="A663" s="132"/>
      <c r="B663" s="146" t="s">
        <v>178</v>
      </c>
      <c r="C663" s="147">
        <v>1739300</v>
      </c>
      <c r="D663" s="147">
        <f>1739300+(190000+550000)+164975+30000</f>
        <v>2674275</v>
      </c>
      <c r="E663" s="130">
        <v>2226348.4700000002</v>
      </c>
      <c r="F663" s="130"/>
      <c r="G663" s="126">
        <f t="shared" si="190"/>
        <v>128.00255677571437</v>
      </c>
      <c r="H663" s="126">
        <f t="shared" si="188"/>
        <v>83.250543418309647</v>
      </c>
      <c r="I663" s="126">
        <f t="shared" si="189"/>
        <v>161.7767125955358</v>
      </c>
      <c r="J663" s="6">
        <v>1376186</v>
      </c>
    </row>
    <row r="664" spans="1:10" ht="36" x14ac:dyDescent="0.2">
      <c r="A664" s="124"/>
      <c r="B664" s="146" t="s">
        <v>177</v>
      </c>
      <c r="C664" s="145">
        <v>4930300</v>
      </c>
      <c r="D664" s="145">
        <f>4930300+1483000+595143+46839+50000+(36000+275000)</f>
        <v>7416282</v>
      </c>
      <c r="E664" s="130">
        <v>5591533.8899999997</v>
      </c>
      <c r="F664" s="130"/>
      <c r="G664" s="126">
        <f t="shared" si="190"/>
        <v>113.41163600592255</v>
      </c>
      <c r="H664" s="126">
        <f t="shared" si="188"/>
        <v>75.395378573792087</v>
      </c>
      <c r="I664" s="126">
        <f t="shared" si="189"/>
        <v>107.13308712600924</v>
      </c>
      <c r="J664" s="6">
        <v>5219240.8899999997</v>
      </c>
    </row>
    <row r="665" spans="1:10" ht="13.5" thickBot="1" x14ac:dyDescent="0.25">
      <c r="A665" s="143"/>
      <c r="B665" s="142"/>
      <c r="C665" s="141"/>
      <c r="D665" s="141"/>
      <c r="E665" s="134"/>
      <c r="F665" s="117"/>
      <c r="G665" s="486"/>
      <c r="H665" s="486"/>
      <c r="I665" s="486"/>
      <c r="J665" s="14"/>
    </row>
    <row r="666" spans="1:10" ht="21" thickBot="1" x14ac:dyDescent="0.35">
      <c r="A666" s="140"/>
      <c r="B666" s="139" t="s">
        <v>1083</v>
      </c>
      <c r="C666" s="242">
        <f>SUM(C667:C675,C679:C682,C687,C688)</f>
        <v>58483000</v>
      </c>
      <c r="D666" s="242">
        <f>SUM(D667:D675,D679:D682,D687,D688)</f>
        <v>48709145.5</v>
      </c>
      <c r="E666" s="181">
        <v>45649097.390000001</v>
      </c>
      <c r="F666" s="317">
        <f>SUM(E667:E675,E679:E682,E687:E688)</f>
        <v>45649097.390000001</v>
      </c>
      <c r="G666" s="571">
        <f>E666/C666*100</f>
        <v>78.05532785595814</v>
      </c>
      <c r="H666" s="181">
        <f t="shared" si="188"/>
        <v>93.717713422010249</v>
      </c>
      <c r="I666" s="181">
        <f t="shared" si="189"/>
        <v>95.779600111935466</v>
      </c>
      <c r="J666" s="14">
        <v>47660563.770000003</v>
      </c>
    </row>
    <row r="667" spans="1:10" x14ac:dyDescent="0.2">
      <c r="A667" s="138">
        <v>1014</v>
      </c>
      <c r="B667" s="137" t="s">
        <v>175</v>
      </c>
      <c r="C667" s="120">
        <v>770000</v>
      </c>
      <c r="D667" s="120">
        <v>770000</v>
      </c>
      <c r="E667" s="553">
        <v>355714</v>
      </c>
      <c r="F667" s="714"/>
      <c r="G667" s="120">
        <f t="shared" ref="G667:G687" si="191">E667/C667*100</f>
        <v>46.196623376623371</v>
      </c>
      <c r="H667" s="120">
        <f t="shared" si="188"/>
        <v>46.196623376623371</v>
      </c>
      <c r="I667" s="120">
        <f t="shared" si="189"/>
        <v>66.743095166616627</v>
      </c>
      <c r="J667" s="14">
        <v>532960</v>
      </c>
    </row>
    <row r="668" spans="1:10" x14ac:dyDescent="0.2">
      <c r="A668" s="124">
        <v>1031</v>
      </c>
      <c r="B668" s="123" t="s">
        <v>174</v>
      </c>
      <c r="C668" s="120">
        <v>436000</v>
      </c>
      <c r="D668" s="120">
        <f>436000+44100</f>
        <v>480100</v>
      </c>
      <c r="E668" s="121">
        <v>188024.62</v>
      </c>
      <c r="F668" s="130"/>
      <c r="G668" s="120">
        <f t="shared" si="191"/>
        <v>43.124912844036693</v>
      </c>
      <c r="H668" s="120">
        <f t="shared" si="188"/>
        <v>39.163636742345339</v>
      </c>
      <c r="I668" s="120">
        <f t="shared" si="189"/>
        <v>76.350912385602825</v>
      </c>
      <c r="J668" s="14">
        <v>246263.75</v>
      </c>
    </row>
    <row r="669" spans="1:10" x14ac:dyDescent="0.2">
      <c r="A669" s="124">
        <v>1036</v>
      </c>
      <c r="B669" s="123" t="s">
        <v>173</v>
      </c>
      <c r="C669" s="120">
        <v>100000</v>
      </c>
      <c r="D669" s="120">
        <v>100000</v>
      </c>
      <c r="E669" s="121">
        <v>82519.990000000005</v>
      </c>
      <c r="F669" s="130"/>
      <c r="G669" s="120">
        <f t="shared" si="191"/>
        <v>82.519990000000007</v>
      </c>
      <c r="H669" s="120">
        <f t="shared" si="188"/>
        <v>82.519990000000007</v>
      </c>
      <c r="I669" s="120">
        <f t="shared" si="189"/>
        <v>101.8966585992295</v>
      </c>
      <c r="J669" s="14">
        <v>80984</v>
      </c>
    </row>
    <row r="670" spans="1:10" s="17" customFormat="1" ht="15.75" x14ac:dyDescent="0.25">
      <c r="A670" s="124">
        <v>1037</v>
      </c>
      <c r="B670" s="123" t="s">
        <v>172</v>
      </c>
      <c r="C670" s="120">
        <v>20000</v>
      </c>
      <c r="D670" s="120">
        <v>20000</v>
      </c>
      <c r="E670" s="540">
        <v>15163</v>
      </c>
      <c r="F670" s="487"/>
      <c r="G670" s="120">
        <f t="shared" si="191"/>
        <v>75.814999999999998</v>
      </c>
      <c r="H670" s="120">
        <f t="shared" si="188"/>
        <v>75.814999999999998</v>
      </c>
      <c r="I670" s="120">
        <f t="shared" si="189"/>
        <v>2.0366671545104382</v>
      </c>
      <c r="J670" s="14">
        <v>744500.64</v>
      </c>
    </row>
    <row r="671" spans="1:10" s="3" customFormat="1" x14ac:dyDescent="0.2">
      <c r="A671" s="124">
        <v>1039</v>
      </c>
      <c r="B671" s="123" t="s">
        <v>171</v>
      </c>
      <c r="C671" s="120">
        <v>200000</v>
      </c>
      <c r="D671" s="120">
        <v>200000</v>
      </c>
      <c r="E671" s="121">
        <v>108659.21</v>
      </c>
      <c r="F671" s="2"/>
      <c r="G671" s="120">
        <f t="shared" si="191"/>
        <v>54.329605000000001</v>
      </c>
      <c r="H671" s="120">
        <f t="shared" si="188"/>
        <v>54.329605000000001</v>
      </c>
      <c r="I671" s="120">
        <f t="shared" si="189"/>
        <v>48.021925133689841</v>
      </c>
      <c r="J671" s="14">
        <v>226270</v>
      </c>
    </row>
    <row r="672" spans="1:10" s="3" customFormat="1" x14ac:dyDescent="0.2">
      <c r="A672" s="124">
        <v>2369</v>
      </c>
      <c r="B672" s="123" t="s">
        <v>170</v>
      </c>
      <c r="C672" s="120">
        <v>370000</v>
      </c>
      <c r="D672" s="120">
        <v>370000</v>
      </c>
      <c r="E672" s="121">
        <v>39043.07</v>
      </c>
      <c r="F672" s="10"/>
      <c r="G672" s="120">
        <f t="shared" si="191"/>
        <v>10.552181081081082</v>
      </c>
      <c r="H672" s="120">
        <f t="shared" si="188"/>
        <v>10.552181081081082</v>
      </c>
      <c r="I672" s="120">
        <f t="shared" si="189"/>
        <v>9760.7674999999999</v>
      </c>
      <c r="J672" s="14">
        <v>400</v>
      </c>
    </row>
    <row r="673" spans="1:246" customFormat="1" ht="12.75" customHeight="1" x14ac:dyDescent="0.2">
      <c r="A673" s="71">
        <v>3639</v>
      </c>
      <c r="B673" s="58" t="s">
        <v>925</v>
      </c>
      <c r="C673" s="63">
        <v>0</v>
      </c>
      <c r="D673" s="63">
        <v>84350</v>
      </c>
      <c r="E673" s="549">
        <v>84350</v>
      </c>
      <c r="F673" s="496"/>
      <c r="G673" s="120">
        <v>0</v>
      </c>
      <c r="H673" s="121">
        <f>E673/D673*100</f>
        <v>100</v>
      </c>
      <c r="I673" s="121">
        <f t="shared" si="189"/>
        <v>100.89712918660287</v>
      </c>
      <c r="J673" s="14">
        <v>83600</v>
      </c>
    </row>
    <row r="674" spans="1:246" s="3" customFormat="1" x14ac:dyDescent="0.2">
      <c r="A674" s="124">
        <v>3721</v>
      </c>
      <c r="B674" s="123" t="s">
        <v>169</v>
      </c>
      <c r="C674" s="120">
        <v>50000</v>
      </c>
      <c r="D674" s="120">
        <v>50000</v>
      </c>
      <c r="E674" s="121">
        <v>50000</v>
      </c>
      <c r="F674" s="130"/>
      <c r="G674" s="120">
        <f t="shared" si="191"/>
        <v>100</v>
      </c>
      <c r="H674" s="120">
        <f t="shared" si="188"/>
        <v>100</v>
      </c>
      <c r="I674" s="120">
        <f t="shared" si="189"/>
        <v>100</v>
      </c>
      <c r="J674" s="14">
        <v>50000</v>
      </c>
    </row>
    <row r="675" spans="1:246" s="3" customFormat="1" x14ac:dyDescent="0.2">
      <c r="A675" s="124">
        <v>3722</v>
      </c>
      <c r="B675" s="123" t="s">
        <v>168</v>
      </c>
      <c r="C675" s="122">
        <f>SUM(C676:C678)</f>
        <v>27100000</v>
      </c>
      <c r="D675" s="122">
        <f>SUM(D676:D678)</f>
        <v>26260100</v>
      </c>
      <c r="E675" s="18">
        <v>25859507</v>
      </c>
      <c r="F675" s="10">
        <f>SUM(E676:E678)</f>
        <v>25859507</v>
      </c>
      <c r="G675" s="120">
        <f t="shared" si="191"/>
        <v>95.422535055350551</v>
      </c>
      <c r="H675" s="120">
        <f t="shared" si="188"/>
        <v>98.474518375786829</v>
      </c>
      <c r="I675" s="120">
        <f t="shared" si="189"/>
        <v>102.98431027139962</v>
      </c>
      <c r="J675" s="6">
        <v>25110142.440000001</v>
      </c>
    </row>
    <row r="676" spans="1:246" s="3" customFormat="1" x14ac:dyDescent="0.2">
      <c r="A676" s="124"/>
      <c r="B676" s="131" t="s">
        <v>167</v>
      </c>
      <c r="C676" s="126">
        <v>24500000</v>
      </c>
      <c r="D676" s="126">
        <f>24500000+120100-600000</f>
        <v>24020100</v>
      </c>
      <c r="E676" s="130">
        <v>24020100</v>
      </c>
      <c r="F676" s="130"/>
      <c r="G676" s="126">
        <f t="shared" si="191"/>
        <v>98.041224489795923</v>
      </c>
      <c r="H676" s="126">
        <f t="shared" si="188"/>
        <v>100</v>
      </c>
      <c r="I676" s="126">
        <f t="shared" si="189"/>
        <v>104.72834291631467</v>
      </c>
      <c r="J676" s="14">
        <v>22935625</v>
      </c>
    </row>
    <row r="677" spans="1:246" s="3" customFormat="1" x14ac:dyDescent="0.2">
      <c r="A677" s="124"/>
      <c r="B677" s="131" t="s">
        <v>166</v>
      </c>
      <c r="C677" s="126">
        <f>2140000+100000</f>
        <v>2240000</v>
      </c>
      <c r="D677" s="126">
        <f>2140000+100000</f>
        <v>2240000</v>
      </c>
      <c r="E677" s="130">
        <v>1839407</v>
      </c>
      <c r="F677" s="130"/>
      <c r="G677" s="126">
        <f t="shared" si="191"/>
        <v>82.116383928571423</v>
      </c>
      <c r="H677" s="126">
        <f t="shared" si="188"/>
        <v>82.116383928571423</v>
      </c>
      <c r="I677" s="126">
        <f t="shared" si="189"/>
        <v>128.33124858057556</v>
      </c>
      <c r="J677" s="14">
        <v>1433327.44</v>
      </c>
    </row>
    <row r="678" spans="1:246" s="3" customFormat="1" x14ac:dyDescent="0.2">
      <c r="A678" s="124"/>
      <c r="B678" s="128" t="s">
        <v>165</v>
      </c>
      <c r="C678" s="126">
        <v>360000</v>
      </c>
      <c r="D678" s="9">
        <f>360000-360000-110000+110000</f>
        <v>0</v>
      </c>
      <c r="E678" s="130">
        <v>0</v>
      </c>
      <c r="F678" s="499"/>
      <c r="G678" s="126">
        <f t="shared" si="191"/>
        <v>0</v>
      </c>
      <c r="H678" s="126">
        <v>0</v>
      </c>
      <c r="I678" s="126">
        <v>0</v>
      </c>
      <c r="J678" s="14">
        <v>741190</v>
      </c>
    </row>
    <row r="679" spans="1:246" s="3" customFormat="1" x14ac:dyDescent="0.2">
      <c r="A679" s="124">
        <v>3733</v>
      </c>
      <c r="B679" s="123" t="s">
        <v>164</v>
      </c>
      <c r="C679" s="120">
        <v>65000</v>
      </c>
      <c r="D679" s="120">
        <v>65000</v>
      </c>
      <c r="E679" s="121">
        <v>0</v>
      </c>
      <c r="F679" s="2"/>
      <c r="G679" s="120">
        <f t="shared" si="191"/>
        <v>0</v>
      </c>
      <c r="H679" s="120">
        <f t="shared" si="188"/>
        <v>0</v>
      </c>
      <c r="I679" s="120">
        <v>0</v>
      </c>
      <c r="J679" s="14">
        <v>29600</v>
      </c>
    </row>
    <row r="680" spans="1:246" s="3" customFormat="1" x14ac:dyDescent="0.2">
      <c r="A680" s="124">
        <v>3742</v>
      </c>
      <c r="B680" s="135" t="s">
        <v>163</v>
      </c>
      <c r="C680" s="120">
        <v>100000</v>
      </c>
      <c r="D680" s="120">
        <f>100000+59955.5</f>
        <v>159955.5</v>
      </c>
      <c r="E680" s="121">
        <v>87504</v>
      </c>
      <c r="F680" s="130"/>
      <c r="G680" s="120">
        <f t="shared" si="191"/>
        <v>87.504000000000005</v>
      </c>
      <c r="H680" s="120">
        <f t="shared" si="188"/>
        <v>54.705214887890698</v>
      </c>
      <c r="I680" s="120">
        <f t="shared" si="189"/>
        <v>4375.2</v>
      </c>
      <c r="J680" s="14">
        <v>2000</v>
      </c>
    </row>
    <row r="681" spans="1:246" s="3" customFormat="1" x14ac:dyDescent="0.2">
      <c r="A681" s="124">
        <v>3743</v>
      </c>
      <c r="B681" s="123" t="s">
        <v>162</v>
      </c>
      <c r="C681" s="120">
        <v>2000</v>
      </c>
      <c r="D681" s="120">
        <v>2000</v>
      </c>
      <c r="E681" s="121">
        <v>1430</v>
      </c>
      <c r="F681" s="130"/>
      <c r="G681" s="120">
        <f t="shared" si="191"/>
        <v>71.5</v>
      </c>
      <c r="H681" s="120">
        <f t="shared" si="188"/>
        <v>71.5</v>
      </c>
      <c r="I681" s="120">
        <f t="shared" si="189"/>
        <v>100</v>
      </c>
      <c r="J681" s="14">
        <v>1430</v>
      </c>
    </row>
    <row r="682" spans="1:246" s="3" customFormat="1" x14ac:dyDescent="0.2">
      <c r="A682" s="124">
        <v>3745</v>
      </c>
      <c r="B682" s="123" t="s">
        <v>161</v>
      </c>
      <c r="C682" s="122">
        <f>SUM(C683:C686)</f>
        <v>29115000</v>
      </c>
      <c r="D682" s="122">
        <f>SUM(D683:D686)</f>
        <v>19692640</v>
      </c>
      <c r="E682" s="121">
        <v>18657124.5</v>
      </c>
      <c r="F682" s="130">
        <f>SUM(E683:E686)</f>
        <v>18657124.5</v>
      </c>
      <c r="G682" s="120">
        <f t="shared" si="191"/>
        <v>64.080798557444623</v>
      </c>
      <c r="H682" s="120">
        <f t="shared" si="188"/>
        <v>94.741611586866966</v>
      </c>
      <c r="I682" s="120">
        <f t="shared" si="189"/>
        <v>91.637175372708185</v>
      </c>
      <c r="J682" s="14">
        <v>20359776.940000001</v>
      </c>
    </row>
    <row r="683" spans="1:246" s="3" customFormat="1" x14ac:dyDescent="0.2">
      <c r="A683" s="124"/>
      <c r="B683" s="131" t="s">
        <v>160</v>
      </c>
      <c r="C683" s="126">
        <v>150000</v>
      </c>
      <c r="D683" s="126">
        <v>150000</v>
      </c>
      <c r="E683" s="127">
        <v>130720</v>
      </c>
      <c r="F683" s="127"/>
      <c r="G683" s="126">
        <f t="shared" si="191"/>
        <v>87.146666666666661</v>
      </c>
      <c r="H683" s="126">
        <f>E683/D683*100</f>
        <v>87.146666666666661</v>
      </c>
      <c r="I683" s="126">
        <v>0</v>
      </c>
      <c r="J683" s="14">
        <v>0</v>
      </c>
    </row>
    <row r="684" spans="1:246" s="3" customFormat="1" x14ac:dyDescent="0.2">
      <c r="A684" s="132"/>
      <c r="B684" s="131" t="s">
        <v>159</v>
      </c>
      <c r="C684" s="126">
        <v>16000000</v>
      </c>
      <c r="D684" s="126">
        <f>16000000+234740+107900</f>
        <v>16342640</v>
      </c>
      <c r="E684" s="130">
        <v>16342640</v>
      </c>
      <c r="F684" s="130"/>
      <c r="G684" s="126">
        <f t="shared" si="191"/>
        <v>102.14149999999999</v>
      </c>
      <c r="H684" s="126">
        <f>E684/D684*100</f>
        <v>100</v>
      </c>
      <c r="I684" s="126">
        <f>E684/J684*100</f>
        <v>103.93106299087411</v>
      </c>
      <c r="J684" s="6">
        <v>15724500</v>
      </c>
    </row>
    <row r="685" spans="1:246" s="3" customFormat="1" x14ac:dyDescent="0.2">
      <c r="A685" s="132"/>
      <c r="B685" s="131" t="s">
        <v>158</v>
      </c>
      <c r="C685" s="126">
        <v>3200000</v>
      </c>
      <c r="D685" s="126">
        <v>3200000</v>
      </c>
      <c r="E685" s="130">
        <v>2183764.5</v>
      </c>
      <c r="F685" s="130"/>
      <c r="G685" s="126">
        <f t="shared" si="191"/>
        <v>68.242640624999993</v>
      </c>
      <c r="H685" s="126">
        <f>E685/D685*100</f>
        <v>68.242640624999993</v>
      </c>
      <c r="I685" s="126">
        <f>E685/J685*100</f>
        <v>85.43899091491916</v>
      </c>
      <c r="J685" s="6">
        <v>2555934.33</v>
      </c>
    </row>
    <row r="686" spans="1:246" s="3" customFormat="1" ht="25.5" x14ac:dyDescent="0.2">
      <c r="A686" s="124"/>
      <c r="B686" s="128" t="s">
        <v>979</v>
      </c>
      <c r="C686" s="126">
        <f>9285000+480000</f>
        <v>9765000</v>
      </c>
      <c r="D686" s="126">
        <f>(9285000+480000)-234740-1000000-8530260+110000-110000</f>
        <v>0</v>
      </c>
      <c r="E686" s="130">
        <v>0</v>
      </c>
      <c r="F686" s="130"/>
      <c r="G686" s="126">
        <f t="shared" si="191"/>
        <v>0</v>
      </c>
      <c r="H686" s="126">
        <v>0</v>
      </c>
      <c r="I686" s="126">
        <f>E686/J686*100</f>
        <v>0</v>
      </c>
      <c r="J686" s="6">
        <v>2030288</v>
      </c>
    </row>
    <row r="687" spans="1:246" ht="13.5" thickBot="1" x14ac:dyDescent="0.25">
      <c r="A687" s="124">
        <v>3792</v>
      </c>
      <c r="B687" s="123" t="s">
        <v>156</v>
      </c>
      <c r="C687" s="120">
        <v>155000</v>
      </c>
      <c r="D687" s="120">
        <v>155000</v>
      </c>
      <c r="E687" s="121">
        <v>62226</v>
      </c>
      <c r="F687" s="130"/>
      <c r="G687" s="120">
        <f t="shared" si="191"/>
        <v>40.145806451612906</v>
      </c>
      <c r="H687" s="120">
        <f t="shared" ref="H687:H724" si="192">E687/D687*100</f>
        <v>40.145806451612906</v>
      </c>
      <c r="I687" s="120">
        <f t="shared" ref="I687:I724" si="193">E687/J687*100</f>
        <v>54.590914673731859</v>
      </c>
      <c r="J687" s="14">
        <v>113986</v>
      </c>
    </row>
    <row r="688" spans="1:246" s="3" customFormat="1" ht="16.5" thickBot="1" x14ac:dyDescent="0.3">
      <c r="A688" s="45"/>
      <c r="B688" s="44" t="s">
        <v>914</v>
      </c>
      <c r="C688" s="43">
        <f>SUM(C689:C690)</f>
        <v>0</v>
      </c>
      <c r="D688" s="43">
        <f>SUM(D689:D690)</f>
        <v>300000</v>
      </c>
      <c r="E688" s="479">
        <v>57832</v>
      </c>
      <c r="F688" s="317">
        <f>SUM(E689:E690)</f>
        <v>57832</v>
      </c>
      <c r="G688" s="479">
        <v>0</v>
      </c>
      <c r="H688" s="479">
        <f t="shared" si="192"/>
        <v>19.277333333333331</v>
      </c>
      <c r="I688" s="479">
        <v>0</v>
      </c>
      <c r="J688" s="6">
        <v>0</v>
      </c>
      <c r="K688" s="41"/>
      <c r="L688" s="41"/>
      <c r="M688" s="41"/>
      <c r="N688" s="41"/>
      <c r="O688" s="41"/>
      <c r="P688" s="41"/>
      <c r="Q688" s="41"/>
      <c r="R688" s="41"/>
      <c r="S688" s="41"/>
      <c r="T688" s="41"/>
      <c r="U688" s="41"/>
      <c r="V688" s="41"/>
      <c r="W688" s="41"/>
      <c r="X688" s="41"/>
      <c r="Y688" s="41"/>
      <c r="Z688" s="41"/>
      <c r="AA688" s="41"/>
      <c r="AB688" s="41"/>
      <c r="AC688" s="41"/>
      <c r="AD688" s="41"/>
      <c r="AE688" s="41"/>
      <c r="AF688" s="41"/>
      <c r="AG688" s="41"/>
      <c r="AH688" s="41"/>
      <c r="AI688" s="41"/>
      <c r="AJ688" s="41"/>
      <c r="AK688" s="41"/>
      <c r="AL688" s="41"/>
      <c r="AM688" s="41"/>
      <c r="AN688" s="41"/>
      <c r="AO688" s="41"/>
      <c r="AP688" s="41"/>
      <c r="AQ688" s="41"/>
      <c r="AR688" s="41"/>
      <c r="AS688" s="41"/>
      <c r="AT688" s="41"/>
      <c r="AU688" s="41"/>
      <c r="AV688" s="41"/>
      <c r="AW688" s="41"/>
      <c r="AX688" s="41"/>
      <c r="AY688" s="41"/>
      <c r="AZ688" s="41"/>
      <c r="BA688" s="41"/>
      <c r="BB688" s="41"/>
      <c r="BC688" s="41"/>
      <c r="BD688" s="41"/>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c r="CT688" s="41"/>
      <c r="CU688" s="41"/>
      <c r="CV688" s="41"/>
      <c r="CW688" s="41"/>
      <c r="CX688" s="41"/>
      <c r="CY688" s="41"/>
      <c r="CZ688" s="41"/>
      <c r="DA688" s="41"/>
      <c r="DB688" s="41"/>
      <c r="DC688" s="41"/>
      <c r="DD688" s="41"/>
      <c r="DE688" s="41"/>
      <c r="DF688" s="41"/>
      <c r="DG688" s="41"/>
      <c r="DH688" s="41"/>
      <c r="DI688" s="41"/>
      <c r="DJ688" s="41"/>
      <c r="DK688" s="41"/>
      <c r="DL688" s="41"/>
      <c r="DM688" s="41"/>
      <c r="DN688" s="41"/>
      <c r="DO688" s="41"/>
      <c r="DP688" s="41"/>
      <c r="DQ688" s="41"/>
      <c r="DR688" s="41"/>
      <c r="DS688" s="41"/>
      <c r="DT688" s="41"/>
      <c r="DU688" s="41"/>
      <c r="DV688" s="41"/>
      <c r="DW688" s="41"/>
      <c r="DX688" s="41"/>
      <c r="DY688" s="41"/>
      <c r="DZ688" s="41"/>
      <c r="EA688" s="41"/>
      <c r="EB688" s="41"/>
      <c r="EC688" s="41"/>
      <c r="ED688" s="41"/>
      <c r="EE688" s="41"/>
      <c r="EF688" s="41"/>
      <c r="EG688" s="41"/>
      <c r="EH688" s="41"/>
      <c r="EI688" s="41"/>
      <c r="EJ688" s="41"/>
      <c r="EK688" s="41"/>
      <c r="EL688" s="41"/>
      <c r="EM688" s="41"/>
      <c r="EN688" s="41"/>
      <c r="EO688" s="41"/>
      <c r="EP688" s="41"/>
      <c r="EQ688" s="41"/>
      <c r="ER688" s="41"/>
      <c r="ES688" s="41"/>
      <c r="ET688" s="41"/>
      <c r="EU688" s="41"/>
      <c r="EV688" s="41"/>
      <c r="EW688" s="41"/>
      <c r="EX688" s="41"/>
      <c r="EY688" s="41"/>
      <c r="EZ688" s="41"/>
      <c r="FA688" s="41"/>
      <c r="FB688" s="41"/>
      <c r="FC688" s="41"/>
      <c r="FD688" s="41"/>
      <c r="FE688" s="41"/>
      <c r="FF688" s="41"/>
      <c r="FG688" s="41"/>
      <c r="FH688" s="41"/>
      <c r="FI688" s="41"/>
      <c r="FJ688" s="41"/>
      <c r="FK688" s="41"/>
      <c r="FL688" s="41"/>
      <c r="FM688" s="41"/>
      <c r="FN688" s="41"/>
      <c r="FO688" s="41"/>
      <c r="FP688" s="41"/>
      <c r="FQ688" s="41"/>
      <c r="FR688" s="41"/>
      <c r="FS688" s="41"/>
      <c r="FT688" s="41"/>
      <c r="FU688" s="41"/>
      <c r="FV688" s="41"/>
      <c r="FW688" s="41"/>
      <c r="FX688" s="41"/>
      <c r="FY688" s="41"/>
      <c r="FZ688" s="41"/>
      <c r="GA688" s="41"/>
      <c r="GB688" s="41"/>
      <c r="GC688" s="41"/>
      <c r="GD688" s="41"/>
      <c r="GE688" s="41"/>
      <c r="GF688" s="41"/>
      <c r="GG688" s="41"/>
      <c r="GH688" s="41"/>
      <c r="GI688" s="41"/>
      <c r="GJ688" s="41"/>
      <c r="GK688" s="41"/>
      <c r="GL688" s="41"/>
      <c r="GM688" s="41"/>
      <c r="GN688" s="41"/>
      <c r="GO688" s="41"/>
      <c r="GP688" s="41"/>
      <c r="GQ688" s="41"/>
      <c r="GR688" s="41"/>
      <c r="GS688" s="41"/>
      <c r="GT688" s="41"/>
      <c r="GU688" s="41"/>
      <c r="GV688" s="41"/>
      <c r="GW688" s="41"/>
      <c r="GX688" s="41"/>
      <c r="GY688" s="41"/>
      <c r="GZ688" s="41"/>
      <c r="HA688" s="41"/>
      <c r="HB688" s="41"/>
      <c r="HC688" s="41"/>
      <c r="HD688" s="41"/>
      <c r="HE688" s="41"/>
      <c r="HF688" s="41"/>
      <c r="HG688" s="41"/>
      <c r="HH688" s="41"/>
      <c r="HI688" s="41"/>
      <c r="HJ688" s="41"/>
      <c r="HK688" s="41"/>
      <c r="HL688" s="41"/>
      <c r="HM688" s="41"/>
      <c r="HN688" s="41"/>
      <c r="HO688" s="41"/>
      <c r="HP688" s="41"/>
      <c r="HQ688" s="41"/>
      <c r="HR688" s="41"/>
      <c r="HS688" s="41"/>
      <c r="HT688" s="41"/>
      <c r="HU688" s="41"/>
      <c r="HV688" s="41"/>
      <c r="HW688" s="41"/>
      <c r="HX688" s="41"/>
      <c r="HY688" s="41"/>
      <c r="HZ688" s="41"/>
      <c r="IA688" s="41"/>
      <c r="IB688" s="41"/>
      <c r="IC688" s="41"/>
      <c r="ID688" s="41"/>
      <c r="IE688" s="41"/>
      <c r="IF688" s="41"/>
      <c r="IG688" s="41"/>
      <c r="IH688" s="41"/>
      <c r="II688" s="41"/>
      <c r="IJ688" s="41"/>
      <c r="IK688" s="41"/>
      <c r="IL688" s="41"/>
    </row>
    <row r="689" spans="1:10" x14ac:dyDescent="0.2">
      <c r="A689" s="264" t="s">
        <v>915</v>
      </c>
      <c r="B689" s="263" t="s">
        <v>917</v>
      </c>
      <c r="C689" s="262">
        <v>0</v>
      </c>
      <c r="D689" s="262">
        <v>150000</v>
      </c>
      <c r="E689" s="492">
        <v>39892</v>
      </c>
      <c r="F689" s="9"/>
      <c r="G689" s="126">
        <v>0</v>
      </c>
      <c r="H689" s="126">
        <f t="shared" si="192"/>
        <v>26.594666666666665</v>
      </c>
      <c r="I689" s="126">
        <v>0</v>
      </c>
      <c r="J689" s="14">
        <v>0</v>
      </c>
    </row>
    <row r="690" spans="1:10" x14ac:dyDescent="0.2">
      <c r="A690" s="261" t="s">
        <v>916</v>
      </c>
      <c r="B690" s="260" t="s">
        <v>918</v>
      </c>
      <c r="C690" s="259">
        <v>0</v>
      </c>
      <c r="D690" s="259">
        <v>150000</v>
      </c>
      <c r="E690" s="10">
        <v>17940</v>
      </c>
      <c r="F690" s="10"/>
      <c r="G690" s="126">
        <v>0</v>
      </c>
      <c r="H690" s="126">
        <f t="shared" si="192"/>
        <v>11.959999999999999</v>
      </c>
      <c r="I690" s="126">
        <v>0</v>
      </c>
      <c r="J690" s="14">
        <v>0</v>
      </c>
    </row>
    <row r="691" spans="1:10" ht="13.5" thickBot="1" x14ac:dyDescent="0.25">
      <c r="A691" s="119"/>
      <c r="B691" s="118"/>
      <c r="C691" s="117"/>
      <c r="D691" s="117"/>
      <c r="E691" s="134"/>
      <c r="F691" s="117"/>
      <c r="G691" s="486"/>
      <c r="H691" s="486"/>
      <c r="I691" s="486"/>
      <c r="J691" s="14"/>
    </row>
    <row r="692" spans="1:10" customFormat="1" ht="21" thickBot="1" x14ac:dyDescent="0.25">
      <c r="A692" s="116"/>
      <c r="B692" s="115" t="s">
        <v>155</v>
      </c>
      <c r="C692" s="114">
        <f>SUM(C693,C694,C723,C758,C811,C827,C828,C832)</f>
        <v>224822000</v>
      </c>
      <c r="D692" s="114">
        <f>SUM(D693,D694,D723,D758,D811,D827,D828,D832)</f>
        <v>205758852.30000001</v>
      </c>
      <c r="E692" s="181">
        <v>124882405.56</v>
      </c>
      <c r="F692" s="317">
        <f>SUM(E693:E694,E723,E758,E811,E827:E828,E832)</f>
        <v>124882405.56</v>
      </c>
      <c r="G692" s="571">
        <f>E692/C692*100</f>
        <v>55.54723539511258</v>
      </c>
      <c r="H692" s="181">
        <f t="shared" si="192"/>
        <v>60.693576079010811</v>
      </c>
      <c r="I692" s="181">
        <f t="shared" ref="I692" si="194">E692/J692*100</f>
        <v>68.90672887096126</v>
      </c>
      <c r="J692" s="6">
        <v>181233977.59</v>
      </c>
    </row>
    <row r="693" spans="1:10" customFormat="1" ht="12.75" customHeight="1" x14ac:dyDescent="0.2">
      <c r="A693" s="113">
        <v>3122</v>
      </c>
      <c r="B693" s="112" t="s">
        <v>154</v>
      </c>
      <c r="C693" s="111">
        <v>376000</v>
      </c>
      <c r="D693" s="111">
        <v>376000</v>
      </c>
      <c r="E693" s="120">
        <v>277560</v>
      </c>
      <c r="F693" s="126">
        <f>F692-E692</f>
        <v>0</v>
      </c>
      <c r="G693" s="120">
        <f t="shared" ref="G693:G762" si="195">E693/C693*100</f>
        <v>73.819148936170208</v>
      </c>
      <c r="H693" s="120">
        <f t="shared" si="192"/>
        <v>73.819148936170208</v>
      </c>
      <c r="I693" s="120">
        <f t="shared" si="193"/>
        <v>88.221641649768856</v>
      </c>
      <c r="J693" s="14">
        <v>314616.68</v>
      </c>
    </row>
    <row r="694" spans="1:10" customFormat="1" ht="12.75" customHeight="1" x14ac:dyDescent="0.2">
      <c r="A694" s="59">
        <v>3412</v>
      </c>
      <c r="B694" s="91" t="s">
        <v>153</v>
      </c>
      <c r="C694" s="57">
        <f>C695+C711</f>
        <v>38471000</v>
      </c>
      <c r="D694" s="57">
        <f>D695+D711</f>
        <v>30060382.27</v>
      </c>
      <c r="E694" s="121">
        <v>28295025.370000001</v>
      </c>
      <c r="F694" s="130">
        <f>SUM(E695,E711)</f>
        <v>28295025.370000001</v>
      </c>
      <c r="G694" s="120">
        <f t="shared" si="195"/>
        <v>73.548972914662997</v>
      </c>
      <c r="H694" s="120">
        <f t="shared" si="192"/>
        <v>94.127297237461249</v>
      </c>
      <c r="I694" s="120">
        <f t="shared" si="193"/>
        <v>30.210232486253506</v>
      </c>
      <c r="J694" s="14">
        <v>93660402.590000004</v>
      </c>
    </row>
    <row r="695" spans="1:10" customFormat="1" ht="12.75" customHeight="1" x14ac:dyDescent="0.2">
      <c r="A695" s="59"/>
      <c r="B695" s="110" t="s">
        <v>152</v>
      </c>
      <c r="C695" s="57">
        <f>C696+C701+C706</f>
        <v>25637000</v>
      </c>
      <c r="D695" s="57">
        <f>D696+D701+D706</f>
        <v>22895000</v>
      </c>
      <c r="E695" s="121">
        <v>22006600</v>
      </c>
      <c r="F695" s="130">
        <f>SUM(E696,E701,E706)</f>
        <v>22006599.600000001</v>
      </c>
      <c r="G695" s="120">
        <f t="shared" si="195"/>
        <v>85.839216757030854</v>
      </c>
      <c r="H695" s="120">
        <f t="shared" si="192"/>
        <v>96.119676785324302</v>
      </c>
      <c r="I695" s="120">
        <f t="shared" si="193"/>
        <v>79.141502089166849</v>
      </c>
      <c r="J695" s="14">
        <v>27806649.379999999</v>
      </c>
    </row>
    <row r="696" spans="1:10" customFormat="1" ht="12.75" customHeight="1" x14ac:dyDescent="0.2">
      <c r="A696" s="59"/>
      <c r="B696" s="69" t="s">
        <v>132</v>
      </c>
      <c r="C696" s="52">
        <f>SUM(C697:C700)</f>
        <v>1600000</v>
      </c>
      <c r="D696" s="52">
        <f>SUM(D697:D700)</f>
        <v>793352.4</v>
      </c>
      <c r="E696" s="130">
        <v>293352</v>
      </c>
      <c r="F696" s="130"/>
      <c r="G696" s="126">
        <f t="shared" si="195"/>
        <v>18.334500000000002</v>
      </c>
      <c r="H696" s="126">
        <f t="shared" si="192"/>
        <v>36.976254184143137</v>
      </c>
      <c r="I696" s="126">
        <f t="shared" si="193"/>
        <v>8.1445721866141501</v>
      </c>
      <c r="J696" s="14">
        <v>3601809.81</v>
      </c>
    </row>
    <row r="697" spans="1:10" customFormat="1" ht="12.75" customHeight="1" x14ac:dyDescent="0.2">
      <c r="A697" s="59"/>
      <c r="B697" s="102" t="s">
        <v>151</v>
      </c>
      <c r="C697" s="108">
        <v>1300000</v>
      </c>
      <c r="D697" s="108">
        <f>1300000-1100000</f>
        <v>200000</v>
      </c>
      <c r="E697" s="130">
        <v>0</v>
      </c>
      <c r="F697" s="130"/>
      <c r="G697" s="126">
        <f t="shared" si="195"/>
        <v>0</v>
      </c>
      <c r="H697" s="126">
        <f t="shared" si="192"/>
        <v>0</v>
      </c>
      <c r="I697" s="126">
        <v>0</v>
      </c>
      <c r="J697" s="14">
        <v>0</v>
      </c>
    </row>
    <row r="698" spans="1:10" customFormat="1" ht="12.75" customHeight="1" x14ac:dyDescent="0.2">
      <c r="A698" s="59"/>
      <c r="B698" s="102" t="s">
        <v>150</v>
      </c>
      <c r="C698" s="75">
        <v>300000</v>
      </c>
      <c r="D698" s="75">
        <v>300000</v>
      </c>
      <c r="E698" s="130">
        <v>0</v>
      </c>
      <c r="F698" s="10"/>
      <c r="G698" s="126">
        <f t="shared" si="195"/>
        <v>0</v>
      </c>
      <c r="H698" s="126">
        <f t="shared" si="192"/>
        <v>0</v>
      </c>
      <c r="I698" s="126">
        <v>0</v>
      </c>
      <c r="J698" s="14">
        <v>0</v>
      </c>
    </row>
    <row r="699" spans="1:10" customFormat="1" ht="12.75" customHeight="1" x14ac:dyDescent="0.2">
      <c r="A699" s="59"/>
      <c r="B699" s="102" t="s">
        <v>1080</v>
      </c>
      <c r="C699" s="75">
        <v>0</v>
      </c>
      <c r="D699" s="75">
        <v>96122.4</v>
      </c>
      <c r="E699" s="130">
        <v>96122.4</v>
      </c>
      <c r="F699" s="10"/>
      <c r="G699" s="126">
        <v>0</v>
      </c>
      <c r="H699" s="126">
        <f t="shared" ref="H699" si="196">E699/D699*100</f>
        <v>100</v>
      </c>
      <c r="I699" s="126">
        <v>0</v>
      </c>
      <c r="J699" s="14">
        <v>0</v>
      </c>
    </row>
    <row r="700" spans="1:10" customFormat="1" ht="12.75" customHeight="1" x14ac:dyDescent="0.2">
      <c r="A700" s="59"/>
      <c r="B700" s="102" t="s">
        <v>1081</v>
      </c>
      <c r="C700" s="75">
        <v>0</v>
      </c>
      <c r="D700" s="75">
        <v>197230</v>
      </c>
      <c r="E700" s="130">
        <v>197230</v>
      </c>
      <c r="F700" s="10"/>
      <c r="G700" s="126">
        <v>0</v>
      </c>
      <c r="H700" s="126">
        <f t="shared" si="192"/>
        <v>100</v>
      </c>
      <c r="I700" s="126">
        <v>0</v>
      </c>
      <c r="J700" s="14">
        <v>0</v>
      </c>
    </row>
    <row r="701" spans="1:10" customFormat="1" ht="12.75" customHeight="1" x14ac:dyDescent="0.2">
      <c r="A701" s="59"/>
      <c r="B701" s="78" t="s">
        <v>149</v>
      </c>
      <c r="C701" s="52">
        <f>SUM(C702:C705)</f>
        <v>850000</v>
      </c>
      <c r="D701" s="52">
        <f>SUM(D702:D705)</f>
        <v>343400</v>
      </c>
      <c r="E701" s="130">
        <v>0</v>
      </c>
      <c r="F701" s="10"/>
      <c r="G701" s="126">
        <f t="shared" si="195"/>
        <v>0</v>
      </c>
      <c r="H701" s="126">
        <f t="shared" si="192"/>
        <v>0</v>
      </c>
      <c r="I701" s="126">
        <f t="shared" si="193"/>
        <v>0</v>
      </c>
      <c r="J701" s="14">
        <v>3078739.83</v>
      </c>
    </row>
    <row r="702" spans="1:10" customFormat="1" ht="12.75" customHeight="1" x14ac:dyDescent="0.2">
      <c r="A702" s="59"/>
      <c r="B702" s="78" t="s">
        <v>869</v>
      </c>
      <c r="C702" s="10">
        <v>200000</v>
      </c>
      <c r="D702" s="10">
        <f>200000-6600</f>
        <v>193400</v>
      </c>
      <c r="E702" s="130">
        <v>0</v>
      </c>
      <c r="F702" s="130"/>
      <c r="G702" s="126">
        <f t="shared" si="195"/>
        <v>0</v>
      </c>
      <c r="H702" s="126">
        <f t="shared" si="192"/>
        <v>0</v>
      </c>
      <c r="I702" s="126">
        <v>0</v>
      </c>
      <c r="J702" s="14">
        <v>72089.09</v>
      </c>
    </row>
    <row r="703" spans="1:10" customFormat="1" ht="12.75" customHeight="1" x14ac:dyDescent="0.2">
      <c r="A703" s="59"/>
      <c r="B703" s="78" t="s">
        <v>148</v>
      </c>
      <c r="C703" s="10">
        <v>100000</v>
      </c>
      <c r="D703" s="10">
        <v>100000</v>
      </c>
      <c r="E703" s="130">
        <v>0</v>
      </c>
      <c r="F703" s="130"/>
      <c r="G703" s="126">
        <f t="shared" si="195"/>
        <v>0</v>
      </c>
      <c r="H703" s="126">
        <f t="shared" si="192"/>
        <v>0</v>
      </c>
      <c r="I703" s="126">
        <v>0</v>
      </c>
      <c r="J703" s="14">
        <v>0</v>
      </c>
    </row>
    <row r="704" spans="1:10" customFormat="1" ht="12.75" customHeight="1" x14ac:dyDescent="0.2">
      <c r="A704" s="59"/>
      <c r="B704" s="62" t="s">
        <v>147</v>
      </c>
      <c r="C704" s="10">
        <v>150000</v>
      </c>
      <c r="D704" s="10">
        <f>150000-100000</f>
        <v>50000</v>
      </c>
      <c r="E704" s="130">
        <v>0</v>
      </c>
      <c r="F704" s="130"/>
      <c r="G704" s="126">
        <f t="shared" si="195"/>
        <v>0</v>
      </c>
      <c r="H704" s="126">
        <f t="shared" si="192"/>
        <v>0</v>
      </c>
      <c r="I704" s="126">
        <v>0</v>
      </c>
      <c r="J704" s="14">
        <v>0</v>
      </c>
    </row>
    <row r="705" spans="1:13" customFormat="1" ht="12.75" customHeight="1" x14ac:dyDescent="0.2">
      <c r="A705" s="59"/>
      <c r="B705" s="78" t="s">
        <v>146</v>
      </c>
      <c r="C705" s="10">
        <v>400000</v>
      </c>
      <c r="D705" s="10">
        <f>400000-400000</f>
        <v>0</v>
      </c>
      <c r="E705" s="10">
        <v>0</v>
      </c>
      <c r="F705" s="10"/>
      <c r="G705" s="126">
        <f t="shared" si="195"/>
        <v>0</v>
      </c>
      <c r="H705" s="126">
        <v>0</v>
      </c>
      <c r="I705" s="126">
        <v>0</v>
      </c>
      <c r="J705" s="14">
        <v>0</v>
      </c>
    </row>
    <row r="706" spans="1:13" customFormat="1" ht="12.75" customHeight="1" x14ac:dyDescent="0.2">
      <c r="A706" s="59"/>
      <c r="B706" s="69" t="s">
        <v>140</v>
      </c>
      <c r="C706" s="57">
        <f>SUM(C707:C710)</f>
        <v>23187000</v>
      </c>
      <c r="D706" s="57">
        <f>SUM(D707:D710)</f>
        <v>21758247.600000001</v>
      </c>
      <c r="E706" s="122">
        <v>21713247.600000001</v>
      </c>
      <c r="F706" s="10">
        <f>SUM(E707:E710)</f>
        <v>21713247.600000001</v>
      </c>
      <c r="G706" s="120">
        <f t="shared" si="195"/>
        <v>93.644057445982668</v>
      </c>
      <c r="H706" s="120">
        <f t="shared" si="192"/>
        <v>99.793181873709344</v>
      </c>
      <c r="I706" s="120">
        <f t="shared" si="193"/>
        <v>102.7792534695285</v>
      </c>
      <c r="J706" s="14">
        <v>21126099.739999998</v>
      </c>
      <c r="M706" s="617"/>
    </row>
    <row r="707" spans="1:13" customFormat="1" ht="12.75" customHeight="1" x14ac:dyDescent="0.2">
      <c r="A707" s="54"/>
      <c r="B707" s="56" t="s">
        <v>145</v>
      </c>
      <c r="C707" s="10">
        <v>23142000</v>
      </c>
      <c r="D707" s="10">
        <f>23142000-1142000+6600+(-243788.99)+(-200174)</f>
        <v>21562637.010000002</v>
      </c>
      <c r="E707" s="127">
        <v>21562637.010000002</v>
      </c>
      <c r="F707" s="127">
        <f>F706-E706</f>
        <v>0</v>
      </c>
      <c r="G707" s="126">
        <f t="shared" si="195"/>
        <v>93.175339253305694</v>
      </c>
      <c r="H707" s="126">
        <f t="shared" si="192"/>
        <v>100</v>
      </c>
      <c r="I707" s="126">
        <f t="shared" si="193"/>
        <v>102.06634104435976</v>
      </c>
      <c r="J707" s="14">
        <v>21126099.739999998</v>
      </c>
      <c r="M707" s="617"/>
    </row>
    <row r="708" spans="1:13" customFormat="1" ht="12.75" customHeight="1" x14ac:dyDescent="0.2">
      <c r="A708" s="54"/>
      <c r="B708" s="69" t="s">
        <v>1040</v>
      </c>
      <c r="C708" s="10">
        <v>0</v>
      </c>
      <c r="D708" s="10">
        <f>147666.59+2944</f>
        <v>150610.59</v>
      </c>
      <c r="E708" s="127">
        <v>150610.59</v>
      </c>
      <c r="F708" s="2"/>
      <c r="G708" s="126">
        <v>0</v>
      </c>
      <c r="H708" s="126">
        <f t="shared" si="192"/>
        <v>100</v>
      </c>
      <c r="I708" s="126">
        <v>0</v>
      </c>
      <c r="J708" s="14">
        <v>0</v>
      </c>
      <c r="M708" s="617"/>
    </row>
    <row r="709" spans="1:13" customFormat="1" ht="12.75" customHeight="1" x14ac:dyDescent="0.2">
      <c r="A709" s="54"/>
      <c r="B709" s="69" t="s">
        <v>144</v>
      </c>
      <c r="C709" s="10">
        <v>13000</v>
      </c>
      <c r="D709" s="10">
        <v>13000</v>
      </c>
      <c r="E709" s="127">
        <v>0</v>
      </c>
      <c r="F709" s="127"/>
      <c r="G709" s="126">
        <f t="shared" si="195"/>
        <v>0</v>
      </c>
      <c r="H709" s="126">
        <f t="shared" si="192"/>
        <v>0</v>
      </c>
      <c r="I709" s="126">
        <v>0</v>
      </c>
      <c r="J709" s="14">
        <v>0</v>
      </c>
      <c r="M709" s="617"/>
    </row>
    <row r="710" spans="1:13" customFormat="1" ht="12.75" customHeight="1" x14ac:dyDescent="0.2">
      <c r="A710" s="54"/>
      <c r="B710" s="69" t="s">
        <v>143</v>
      </c>
      <c r="C710" s="10">
        <v>32000</v>
      </c>
      <c r="D710" s="10">
        <v>32000</v>
      </c>
      <c r="E710" s="127">
        <v>0</v>
      </c>
      <c r="F710" s="127"/>
      <c r="G710" s="126">
        <f t="shared" si="195"/>
        <v>0</v>
      </c>
      <c r="H710" s="126">
        <f t="shared" si="192"/>
        <v>0</v>
      </c>
      <c r="I710" s="126">
        <v>0</v>
      </c>
      <c r="J710" s="14">
        <v>0</v>
      </c>
      <c r="M710" s="617"/>
    </row>
    <row r="711" spans="1:13" customFormat="1" ht="12.75" customHeight="1" x14ac:dyDescent="0.2">
      <c r="A711" s="54"/>
      <c r="B711" s="84" t="s">
        <v>142</v>
      </c>
      <c r="C711" s="57">
        <f>C712+C715+C719</f>
        <v>12834000</v>
      </c>
      <c r="D711" s="57">
        <f>D712+D715+D719</f>
        <v>7165382.2700000005</v>
      </c>
      <c r="E711" s="521">
        <v>6288425.3700000001</v>
      </c>
      <c r="F711" s="152">
        <f>SUM(E712,E715,E719)</f>
        <v>6288425.3700000001</v>
      </c>
      <c r="G711" s="120">
        <f t="shared" si="195"/>
        <v>48.998171809256661</v>
      </c>
      <c r="H711" s="120">
        <f t="shared" si="192"/>
        <v>87.761198677820147</v>
      </c>
      <c r="I711" s="120">
        <f t="shared" si="193"/>
        <v>9.5490766485957739</v>
      </c>
      <c r="J711" s="14">
        <v>65853753.210000001</v>
      </c>
      <c r="M711" s="617"/>
    </row>
    <row r="712" spans="1:13" customFormat="1" ht="12.75" customHeight="1" x14ac:dyDescent="0.2">
      <c r="A712" s="54"/>
      <c r="B712" s="69" t="s">
        <v>132</v>
      </c>
      <c r="C712" s="64">
        <f>SUM(C713:C714)</f>
        <v>800000</v>
      </c>
      <c r="D712" s="64">
        <f>SUM(D713:D714)</f>
        <v>262543.69</v>
      </c>
      <c r="E712" s="152">
        <v>119292.69</v>
      </c>
      <c r="F712" s="127"/>
      <c r="G712" s="126">
        <f t="shared" si="195"/>
        <v>14.911586250000001</v>
      </c>
      <c r="H712" s="126">
        <f t="shared" si="192"/>
        <v>45.437271792744291</v>
      </c>
      <c r="I712" s="126">
        <f t="shared" si="193"/>
        <v>0.21019473609265255</v>
      </c>
      <c r="J712" s="14">
        <v>56753414.579999998</v>
      </c>
      <c r="M712" s="617"/>
    </row>
    <row r="713" spans="1:13" customFormat="1" ht="12.75" customHeight="1" x14ac:dyDescent="0.2">
      <c r="A713" s="54"/>
      <c r="B713" s="53" t="s">
        <v>141</v>
      </c>
      <c r="C713" s="10">
        <v>800000</v>
      </c>
      <c r="D713" s="10">
        <f>800000-600000</f>
        <v>200000</v>
      </c>
      <c r="E713" s="503">
        <v>56749</v>
      </c>
      <c r="F713" s="127"/>
      <c r="G713" s="126">
        <f t="shared" ref="G713" si="197">E713/C713*100</f>
        <v>7.0936250000000003</v>
      </c>
      <c r="H713" s="126">
        <f t="shared" ref="H713" si="198">E713/D713*100</f>
        <v>28.374500000000001</v>
      </c>
      <c r="I713" s="126">
        <v>0</v>
      </c>
      <c r="J713" s="129">
        <v>0</v>
      </c>
    </row>
    <row r="714" spans="1:13" customFormat="1" ht="12.75" customHeight="1" x14ac:dyDescent="0.2">
      <c r="A714" s="54"/>
      <c r="B714" s="53" t="s">
        <v>1082</v>
      </c>
      <c r="C714" s="10">
        <v>0</v>
      </c>
      <c r="D714" s="10">
        <v>62543.69</v>
      </c>
      <c r="E714" s="503">
        <v>62543.69</v>
      </c>
      <c r="F714" s="127"/>
      <c r="G714" s="126">
        <v>0</v>
      </c>
      <c r="H714" s="126">
        <f t="shared" si="192"/>
        <v>100</v>
      </c>
      <c r="I714" s="126">
        <v>0</v>
      </c>
      <c r="J714" s="129">
        <v>0</v>
      </c>
    </row>
    <row r="715" spans="1:13" customFormat="1" ht="12.75" customHeight="1" x14ac:dyDescent="0.2">
      <c r="A715" s="54"/>
      <c r="B715" s="69" t="s">
        <v>140</v>
      </c>
      <c r="C715" s="52">
        <f>SUM(C716:C718)</f>
        <v>9884000</v>
      </c>
      <c r="D715" s="52">
        <f>SUM(D716:D718)</f>
        <v>6152838.5800000001</v>
      </c>
      <c r="E715" s="127">
        <v>6123503.5800000001</v>
      </c>
      <c r="F715" s="127">
        <f>SUM(E716:E718)</f>
        <v>6123503.5800000001</v>
      </c>
      <c r="G715" s="126">
        <f t="shared" si="195"/>
        <v>61.953698704977747</v>
      </c>
      <c r="H715" s="126">
        <f t="shared" si="192"/>
        <v>99.523228187793606</v>
      </c>
      <c r="I715" s="126">
        <f t="shared" si="193"/>
        <v>73.29412412583612</v>
      </c>
      <c r="J715" s="14">
        <v>8354699.1699999999</v>
      </c>
    </row>
    <row r="716" spans="1:13" customFormat="1" ht="12.75" customHeight="1" x14ac:dyDescent="0.2">
      <c r="A716" s="54"/>
      <c r="B716" s="69" t="s">
        <v>139</v>
      </c>
      <c r="C716" s="10">
        <v>9850000</v>
      </c>
      <c r="D716" s="10">
        <f>9850000-850000+(-65241.69)-2500000-2000-277022.24-418617.73</f>
        <v>5737118.3399999999</v>
      </c>
      <c r="E716" s="127">
        <v>5737118.3399999999</v>
      </c>
      <c r="F716" s="127"/>
      <c r="G716" s="126">
        <f t="shared" si="195"/>
        <v>58.244856243654816</v>
      </c>
      <c r="H716" s="126">
        <f t="shared" si="192"/>
        <v>100</v>
      </c>
      <c r="I716" s="126">
        <f t="shared" si="193"/>
        <v>68.669358683802855</v>
      </c>
      <c r="J716" s="14">
        <v>8354699.1699999999</v>
      </c>
      <c r="M716" s="617"/>
    </row>
    <row r="717" spans="1:13" customFormat="1" ht="12.75" customHeight="1" x14ac:dyDescent="0.2">
      <c r="A717" s="54"/>
      <c r="B717" s="69" t="s">
        <v>1015</v>
      </c>
      <c r="C717" s="10">
        <v>0</v>
      </c>
      <c r="D717" s="10">
        <f>2698+2000+277022.24</f>
        <v>281720.24</v>
      </c>
      <c r="E717" s="127">
        <v>281720.24</v>
      </c>
      <c r="F717" s="2"/>
      <c r="G717" s="126">
        <v>0</v>
      </c>
      <c r="H717" s="126">
        <f t="shared" ref="H717" si="199">E717/D717*100</f>
        <v>100</v>
      </c>
      <c r="I717" s="126">
        <v>0</v>
      </c>
      <c r="J717" s="14">
        <v>0</v>
      </c>
      <c r="M717" s="617"/>
    </row>
    <row r="718" spans="1:13" customFormat="1" ht="12.75" customHeight="1" x14ac:dyDescent="0.2">
      <c r="A718" s="54"/>
      <c r="B718" s="69" t="s">
        <v>138</v>
      </c>
      <c r="C718" s="10">
        <v>34000</v>
      </c>
      <c r="D718" s="10">
        <f>34000+100000</f>
        <v>134000</v>
      </c>
      <c r="E718" s="127">
        <v>104665</v>
      </c>
      <c r="F718" s="2"/>
      <c r="G718" s="126">
        <f t="shared" si="195"/>
        <v>307.83823529411768</v>
      </c>
      <c r="H718" s="126">
        <f t="shared" si="192"/>
        <v>78.108208955223873</v>
      </c>
      <c r="I718" s="126">
        <v>0</v>
      </c>
      <c r="J718" s="14">
        <v>0</v>
      </c>
      <c r="M718" s="617"/>
    </row>
    <row r="719" spans="1:13" customFormat="1" ht="12.75" customHeight="1" x14ac:dyDescent="0.2">
      <c r="A719" s="54"/>
      <c r="B719" s="69" t="s">
        <v>137</v>
      </c>
      <c r="C719" s="52">
        <f>SUM(C720:C722)</f>
        <v>2150000</v>
      </c>
      <c r="D719" s="52">
        <f>SUM(D720:D722)</f>
        <v>750000</v>
      </c>
      <c r="E719" s="504">
        <v>45629.1</v>
      </c>
      <c r="F719" s="127">
        <f>SUM(E720:E722)</f>
        <v>45629.1</v>
      </c>
      <c r="G719" s="126">
        <f t="shared" si="195"/>
        <v>2.1222837209302323</v>
      </c>
      <c r="H719" s="126">
        <f t="shared" si="192"/>
        <v>6.0838799999999997</v>
      </c>
      <c r="I719" s="126">
        <f t="shared" si="193"/>
        <v>6.1194588601842508</v>
      </c>
      <c r="J719" s="14">
        <v>745639.46</v>
      </c>
      <c r="M719" s="617"/>
    </row>
    <row r="720" spans="1:13" customFormat="1" ht="12.75" customHeight="1" x14ac:dyDescent="0.2">
      <c r="A720" s="54"/>
      <c r="B720" s="69" t="s">
        <v>136</v>
      </c>
      <c r="C720" s="10">
        <v>500000</v>
      </c>
      <c r="D720" s="10">
        <v>500000</v>
      </c>
      <c r="E720" s="127">
        <v>0</v>
      </c>
      <c r="F720" s="127"/>
      <c r="G720" s="126">
        <f t="shared" si="195"/>
        <v>0</v>
      </c>
      <c r="H720" s="126">
        <f t="shared" si="192"/>
        <v>0</v>
      </c>
      <c r="I720" s="126">
        <f t="shared" si="193"/>
        <v>0</v>
      </c>
      <c r="J720" s="14">
        <v>745639.46</v>
      </c>
      <c r="M720" s="617"/>
    </row>
    <row r="721" spans="1:10" customFormat="1" ht="12.75" customHeight="1" x14ac:dyDescent="0.2">
      <c r="A721" s="107"/>
      <c r="B721" s="69" t="s">
        <v>135</v>
      </c>
      <c r="C721" s="10">
        <v>900000</v>
      </c>
      <c r="D721" s="10">
        <f>900000-700000-100000</f>
        <v>100000</v>
      </c>
      <c r="E721" s="127">
        <v>45629.1</v>
      </c>
      <c r="F721" s="127"/>
      <c r="G721" s="126">
        <f t="shared" si="195"/>
        <v>5.0699000000000005</v>
      </c>
      <c r="H721" s="126">
        <f t="shared" si="192"/>
        <v>45.629100000000001</v>
      </c>
      <c r="I721" s="126">
        <v>0</v>
      </c>
      <c r="J721" s="14">
        <v>0</v>
      </c>
    </row>
    <row r="722" spans="1:10" customFormat="1" ht="12.75" customHeight="1" x14ac:dyDescent="0.2">
      <c r="A722" s="54"/>
      <c r="B722" s="69" t="s">
        <v>134</v>
      </c>
      <c r="C722" s="10">
        <v>750000</v>
      </c>
      <c r="D722" s="10">
        <f>750000-600000</f>
        <v>150000</v>
      </c>
      <c r="E722" s="127">
        <v>0</v>
      </c>
      <c r="F722" s="127"/>
      <c r="G722" s="126">
        <f t="shared" si="195"/>
        <v>0</v>
      </c>
      <c r="H722" s="126">
        <f t="shared" si="192"/>
        <v>0</v>
      </c>
      <c r="I722" s="126">
        <v>0</v>
      </c>
      <c r="J722" s="14">
        <v>0</v>
      </c>
    </row>
    <row r="723" spans="1:10" s="106" customFormat="1" ht="12.75" customHeight="1" x14ac:dyDescent="0.2">
      <c r="A723" s="59">
        <v>3612</v>
      </c>
      <c r="B723" s="91" t="s">
        <v>133</v>
      </c>
      <c r="C723" s="63">
        <f>C724+C730</f>
        <v>129014000</v>
      </c>
      <c r="D723" s="63">
        <f>D724+D730</f>
        <v>128314460</v>
      </c>
      <c r="E723" s="122">
        <v>63788454.810000002</v>
      </c>
      <c r="F723" s="10">
        <f>SUM(E724,E730)</f>
        <v>63788454.109999999</v>
      </c>
      <c r="G723" s="120">
        <f t="shared" si="195"/>
        <v>49.443048669136687</v>
      </c>
      <c r="H723" s="120">
        <f t="shared" si="192"/>
        <v>49.712600442693677</v>
      </c>
      <c r="I723" s="120">
        <f t="shared" si="193"/>
        <v>158.47759096792274</v>
      </c>
      <c r="J723" s="14">
        <v>40250772.630000003</v>
      </c>
    </row>
    <row r="724" spans="1:10" customFormat="1" ht="12.75" customHeight="1" x14ac:dyDescent="0.2">
      <c r="A724" s="59"/>
      <c r="B724" s="69" t="s">
        <v>132</v>
      </c>
      <c r="C724" s="64">
        <f>SUM(C725:C729)</f>
        <v>89954000</v>
      </c>
      <c r="D724" s="64">
        <f>SUM(D725:D729)</f>
        <v>87902460</v>
      </c>
      <c r="E724" s="127">
        <v>29301553.539999999</v>
      </c>
      <c r="F724" s="127">
        <f>SUM(E725:E729)</f>
        <v>29301553.539999999</v>
      </c>
      <c r="G724" s="126">
        <f t="shared" si="195"/>
        <v>32.573930608977918</v>
      </c>
      <c r="H724" s="126">
        <f t="shared" si="192"/>
        <v>33.334167826474939</v>
      </c>
      <c r="I724" s="126">
        <f t="shared" si="193"/>
        <v>978.60344707913157</v>
      </c>
      <c r="J724" s="14">
        <v>2994221.37</v>
      </c>
    </row>
    <row r="725" spans="1:10" customFormat="1" ht="12.75" customHeight="1" x14ac:dyDescent="0.2">
      <c r="A725" s="86"/>
      <c r="B725" s="78" t="s">
        <v>130</v>
      </c>
      <c r="C725" s="103">
        <v>14500000</v>
      </c>
      <c r="D725" s="103">
        <f>14500000-1900000</f>
        <v>12600000</v>
      </c>
      <c r="E725" s="127">
        <v>11811973.07</v>
      </c>
      <c r="F725" s="127"/>
      <c r="G725" s="126">
        <f t="shared" si="195"/>
        <v>81.461883241379311</v>
      </c>
      <c r="H725" s="126">
        <f>E725/D725*100</f>
        <v>93.745818015873013</v>
      </c>
      <c r="I725" s="126">
        <v>0</v>
      </c>
      <c r="J725" s="14">
        <v>0</v>
      </c>
    </row>
    <row r="726" spans="1:10" customFormat="1" ht="12.75" customHeight="1" x14ac:dyDescent="0.2">
      <c r="A726" s="86"/>
      <c r="B726" s="78" t="s">
        <v>129</v>
      </c>
      <c r="C726" s="100">
        <v>9500000</v>
      </c>
      <c r="D726" s="100">
        <f>9500000-1900000</f>
        <v>7600000</v>
      </c>
      <c r="E726" s="10">
        <v>4394309.0999999996</v>
      </c>
      <c r="F726" s="10"/>
      <c r="G726" s="126">
        <f t="shared" si="195"/>
        <v>46.255885263157893</v>
      </c>
      <c r="H726" s="126">
        <f>E726/D726*100</f>
        <v>57.819856578947359</v>
      </c>
      <c r="I726" s="126">
        <f t="shared" ref="I726:I727" si="200">E726/J726*100</f>
        <v>4126.8868332081138</v>
      </c>
      <c r="J726" s="506">
        <v>106480</v>
      </c>
    </row>
    <row r="727" spans="1:10" customFormat="1" ht="12.75" customHeight="1" x14ac:dyDescent="0.2">
      <c r="A727" s="86"/>
      <c r="B727" s="78" t="s">
        <v>969</v>
      </c>
      <c r="C727" s="103">
        <f>(654000+65000000)</f>
        <v>65654000</v>
      </c>
      <c r="D727" s="103">
        <f>(654000+65000000)+15000000-501540-1200000-12400000</f>
        <v>66552460</v>
      </c>
      <c r="E727" s="10">
        <v>12245271.369999999</v>
      </c>
      <c r="F727" s="10"/>
      <c r="G727" s="126">
        <f t="shared" si="195"/>
        <v>18.651219072714532</v>
      </c>
      <c r="H727" s="126">
        <f>E727/D727*100</f>
        <v>18.399427113588288</v>
      </c>
      <c r="I727" s="126">
        <f t="shared" si="200"/>
        <v>719.26503080817861</v>
      </c>
      <c r="J727" s="14">
        <v>1702470</v>
      </c>
    </row>
    <row r="728" spans="1:10" s="73" customFormat="1" ht="12.75" customHeight="1" x14ac:dyDescent="0.2">
      <c r="A728" s="94"/>
      <c r="B728" s="102" t="s">
        <v>896</v>
      </c>
      <c r="C728" s="729">
        <v>300000</v>
      </c>
      <c r="D728" s="729">
        <v>300000</v>
      </c>
      <c r="E728" s="133">
        <v>0</v>
      </c>
      <c r="F728" s="133"/>
      <c r="G728" s="126">
        <f t="shared" si="195"/>
        <v>0</v>
      </c>
      <c r="H728" s="126">
        <f t="shared" ref="H728:H765" si="201">E728/D728*100</f>
        <v>0</v>
      </c>
      <c r="I728" s="126">
        <v>0</v>
      </c>
      <c r="J728" s="14">
        <v>0</v>
      </c>
    </row>
    <row r="729" spans="1:10" s="73" customFormat="1" ht="12.75" customHeight="1" x14ac:dyDescent="0.2">
      <c r="A729" s="94"/>
      <c r="B729" s="102" t="s">
        <v>897</v>
      </c>
      <c r="C729" s="729">
        <v>0</v>
      </c>
      <c r="D729" s="729">
        <v>850000</v>
      </c>
      <c r="E729" s="133">
        <v>850000</v>
      </c>
      <c r="F729" s="133"/>
      <c r="G729" s="126">
        <v>0</v>
      </c>
      <c r="H729" s="126">
        <f t="shared" si="201"/>
        <v>100</v>
      </c>
      <c r="I729" s="126">
        <v>0</v>
      </c>
      <c r="J729" s="14">
        <v>0</v>
      </c>
    </row>
    <row r="730" spans="1:10" customFormat="1" ht="12.75" customHeight="1" x14ac:dyDescent="0.2">
      <c r="A730" s="59"/>
      <c r="B730" s="69" t="s">
        <v>127</v>
      </c>
      <c r="C730" s="9">
        <f>C731+C735+C740+C745+C747+SUM(C752:C757)</f>
        <v>39060000</v>
      </c>
      <c r="D730" s="9">
        <f>D731+D735+D740+D745+D747+SUM(D752:D757)</f>
        <v>40412000</v>
      </c>
      <c r="E730" s="9">
        <f>E731+E735+E740+E745+E747+SUM(E752:E756)</f>
        <v>34486900.57</v>
      </c>
      <c r="F730" s="127">
        <f>SUM(E731,E735,E740,E745,E747,E752:E757)</f>
        <v>34486900.57</v>
      </c>
      <c r="G730" s="126">
        <f t="shared" si="195"/>
        <v>88.292116154633888</v>
      </c>
      <c r="H730" s="126">
        <f t="shared" si="201"/>
        <v>85.338267272097397</v>
      </c>
      <c r="I730" s="126">
        <f t="shared" ref="I730:I736" si="202">E730/J730*100</f>
        <v>92.566003571636017</v>
      </c>
      <c r="J730" s="14">
        <v>37256551.259999998</v>
      </c>
    </row>
    <row r="731" spans="1:10" customFormat="1" ht="12.75" customHeight="1" x14ac:dyDescent="0.2">
      <c r="A731" s="59"/>
      <c r="B731" s="84" t="s">
        <v>126</v>
      </c>
      <c r="C731" s="554">
        <f>SUM(C732:C734)</f>
        <v>7250000</v>
      </c>
      <c r="D731" s="554">
        <f>SUM(D732:D734)</f>
        <v>10050000</v>
      </c>
      <c r="E731" s="554">
        <f>SUM(E732:E734)</f>
        <v>5375544.9699999997</v>
      </c>
      <c r="F731" s="502">
        <f>SUM(E732:E734)</f>
        <v>5375544.9699999997</v>
      </c>
      <c r="G731" s="500">
        <f t="shared" si="195"/>
        <v>74.145447862068963</v>
      </c>
      <c r="H731" s="500">
        <f t="shared" si="201"/>
        <v>53.488009651741287</v>
      </c>
      <c r="I731" s="500">
        <f t="shared" si="202"/>
        <v>66.605109505751898</v>
      </c>
      <c r="J731" s="14">
        <v>8070769.6600000001</v>
      </c>
    </row>
    <row r="732" spans="1:10" customFormat="1" ht="12.75" customHeight="1" x14ac:dyDescent="0.2">
      <c r="A732" s="54"/>
      <c r="B732" s="78" t="s">
        <v>125</v>
      </c>
      <c r="C732" s="10">
        <v>5750000</v>
      </c>
      <c r="D732" s="10">
        <f>5750000+(-1000000-2500000)+3500000+2400000</f>
        <v>8150000</v>
      </c>
      <c r="E732" s="127">
        <v>5375544.9699999997</v>
      </c>
      <c r="F732" s="127"/>
      <c r="G732" s="126">
        <f t="shared" si="195"/>
        <v>93.487738608695651</v>
      </c>
      <c r="H732" s="126">
        <f t="shared" si="201"/>
        <v>65.957606993865028</v>
      </c>
      <c r="I732" s="126">
        <f t="shared" si="202"/>
        <v>93.561911563288405</v>
      </c>
      <c r="J732" s="6">
        <v>5745441.5800000001</v>
      </c>
    </row>
    <row r="733" spans="1:10" customFormat="1" ht="12.75" customHeight="1" x14ac:dyDescent="0.2">
      <c r="A733" s="54"/>
      <c r="B733" s="56" t="s">
        <v>124</v>
      </c>
      <c r="C733" s="10">
        <v>1500000</v>
      </c>
      <c r="D733" s="10">
        <f>1500000</f>
        <v>1500000</v>
      </c>
      <c r="E733" s="10">
        <v>0</v>
      </c>
      <c r="F733" s="10"/>
      <c r="G733" s="126">
        <f t="shared" ref="G733" si="203">E733/C733*100</f>
        <v>0</v>
      </c>
      <c r="H733" s="126">
        <f t="shared" ref="H733" si="204">E733/D733*100</f>
        <v>0</v>
      </c>
      <c r="I733" s="126">
        <v>0</v>
      </c>
      <c r="J733" s="14">
        <v>1998328.08</v>
      </c>
    </row>
    <row r="734" spans="1:10" customFormat="1" ht="12.75" customHeight="1" x14ac:dyDescent="0.2">
      <c r="A734" s="54"/>
      <c r="B734" s="56" t="s">
        <v>1009</v>
      </c>
      <c r="C734" s="10">
        <v>0</v>
      </c>
      <c r="D734" s="10">
        <v>400000</v>
      </c>
      <c r="E734" s="10">
        <v>0</v>
      </c>
      <c r="F734" s="10"/>
      <c r="G734" s="126">
        <v>0</v>
      </c>
      <c r="H734" s="126">
        <f t="shared" si="201"/>
        <v>0</v>
      </c>
      <c r="I734" s="126">
        <v>0</v>
      </c>
      <c r="J734" s="14">
        <v>0</v>
      </c>
    </row>
    <row r="735" spans="1:10" customFormat="1" ht="12.75" customHeight="1" x14ac:dyDescent="0.2">
      <c r="A735" s="59"/>
      <c r="B735" s="56" t="s">
        <v>123</v>
      </c>
      <c r="C735" s="79">
        <f>C736+C737</f>
        <v>3300000</v>
      </c>
      <c r="D735" s="79">
        <f>D736+D737</f>
        <v>2400000</v>
      </c>
      <c r="E735" s="79">
        <f>E736+E737</f>
        <v>2245424.9500000002</v>
      </c>
      <c r="F735" s="502">
        <f>SUM(E736:E737)</f>
        <v>2245424.9500000002</v>
      </c>
      <c r="G735" s="501">
        <f t="shared" si="195"/>
        <v>68.043180303030297</v>
      </c>
      <c r="H735" s="126">
        <f t="shared" si="201"/>
        <v>93.559372916666675</v>
      </c>
      <c r="I735" s="126">
        <f t="shared" si="202"/>
        <v>150.6753629018805</v>
      </c>
      <c r="J735" s="14">
        <v>1490240.28</v>
      </c>
    </row>
    <row r="736" spans="1:10" customFormat="1" ht="12.75" customHeight="1" x14ac:dyDescent="0.2">
      <c r="A736" s="54"/>
      <c r="B736" s="56" t="s">
        <v>118</v>
      </c>
      <c r="C736" s="10">
        <v>2000000</v>
      </c>
      <c r="D736" s="10">
        <v>2000000</v>
      </c>
      <c r="E736" s="127">
        <v>2145443.9500000002</v>
      </c>
      <c r="F736" s="127"/>
      <c r="G736" s="126">
        <f t="shared" si="195"/>
        <v>107.2721975</v>
      </c>
      <c r="H736" s="126">
        <f t="shared" si="201"/>
        <v>107.2721975</v>
      </c>
      <c r="I736" s="126">
        <f t="shared" si="202"/>
        <v>143.96631058717594</v>
      </c>
      <c r="J736" s="14">
        <v>1490240.28</v>
      </c>
    </row>
    <row r="737" spans="1:10" customFormat="1" ht="12.75" customHeight="1" x14ac:dyDescent="0.2">
      <c r="A737" s="54"/>
      <c r="B737" s="56" t="s">
        <v>122</v>
      </c>
      <c r="C737" s="52">
        <f>SUM(C738:C739)</f>
        <v>1300000</v>
      </c>
      <c r="D737" s="52">
        <f>SUM(D738:D739)</f>
        <v>400000</v>
      </c>
      <c r="E737" s="52">
        <f>SUM(E738:E739)</f>
        <v>99981</v>
      </c>
      <c r="F737" s="127">
        <f>SUM(E738:E739)</f>
        <v>99981</v>
      </c>
      <c r="G737" s="126">
        <f t="shared" si="195"/>
        <v>7.6908461538461541</v>
      </c>
      <c r="H737" s="126">
        <f t="shared" si="201"/>
        <v>24.995249999999999</v>
      </c>
      <c r="I737" s="126">
        <v>0</v>
      </c>
      <c r="J737" s="14">
        <v>0</v>
      </c>
    </row>
    <row r="738" spans="1:10" s="73" customFormat="1" ht="12.75" customHeight="1" x14ac:dyDescent="0.2">
      <c r="A738" s="94"/>
      <c r="B738" s="61" t="s">
        <v>121</v>
      </c>
      <c r="C738" s="79">
        <v>300000</v>
      </c>
      <c r="D738" s="79">
        <v>300000</v>
      </c>
      <c r="E738" s="127">
        <v>99981</v>
      </c>
      <c r="F738" s="127"/>
      <c r="G738" s="126">
        <f t="shared" si="195"/>
        <v>33.326999999999998</v>
      </c>
      <c r="H738" s="126">
        <f t="shared" si="201"/>
        <v>33.326999999999998</v>
      </c>
      <c r="I738" s="126">
        <v>0</v>
      </c>
      <c r="J738" s="14">
        <v>0</v>
      </c>
    </row>
    <row r="739" spans="1:10" s="73" customFormat="1" ht="12.75" customHeight="1" x14ac:dyDescent="0.2">
      <c r="A739" s="94"/>
      <c r="B739" s="61" t="s">
        <v>120</v>
      </c>
      <c r="C739" s="89">
        <v>1000000</v>
      </c>
      <c r="D739" s="89">
        <f>1000000-900000</f>
        <v>100000</v>
      </c>
      <c r="E739" s="127">
        <v>0</v>
      </c>
      <c r="F739" s="127"/>
      <c r="G739" s="126">
        <f t="shared" si="195"/>
        <v>0</v>
      </c>
      <c r="H739" s="126">
        <f t="shared" si="201"/>
        <v>0</v>
      </c>
      <c r="I739" s="126">
        <v>0</v>
      </c>
      <c r="J739" s="14">
        <v>0</v>
      </c>
    </row>
    <row r="740" spans="1:10" s="73" customFormat="1" ht="12.75" customHeight="1" x14ac:dyDescent="0.2">
      <c r="A740" s="54"/>
      <c r="B740" s="56" t="s">
        <v>119</v>
      </c>
      <c r="C740" s="79">
        <f>C741+C742</f>
        <v>3100000</v>
      </c>
      <c r="D740" s="79">
        <f>D741+D742</f>
        <v>3100000</v>
      </c>
      <c r="E740" s="79">
        <f>E741+E742</f>
        <v>3052209.76</v>
      </c>
      <c r="F740" s="502">
        <f>SUM(E741:E742)</f>
        <v>3052209.76</v>
      </c>
      <c r="G740" s="501">
        <f t="shared" si="195"/>
        <v>98.458379354838698</v>
      </c>
      <c r="H740" s="501">
        <f t="shared" si="201"/>
        <v>98.458379354838698</v>
      </c>
      <c r="I740" s="126">
        <f t="shared" ref="I740:I749" si="205">E740/J740*100</f>
        <v>93.314958194439285</v>
      </c>
      <c r="J740" s="14">
        <v>3270868.7</v>
      </c>
    </row>
    <row r="741" spans="1:10" customFormat="1" ht="12.75" customHeight="1" x14ac:dyDescent="0.2">
      <c r="A741" s="529"/>
      <c r="B741" s="69" t="s">
        <v>118</v>
      </c>
      <c r="C741" s="10">
        <v>2500000</v>
      </c>
      <c r="D741" s="10">
        <v>2500000</v>
      </c>
      <c r="E741" s="127">
        <v>2491840.5099999998</v>
      </c>
      <c r="F741" s="127"/>
      <c r="G741" s="126">
        <f t="shared" si="195"/>
        <v>99.67362039999999</v>
      </c>
      <c r="H741" s="126">
        <f t="shared" si="201"/>
        <v>99.67362039999999</v>
      </c>
      <c r="I741" s="126">
        <f t="shared" si="205"/>
        <v>126.42667119612948</v>
      </c>
      <c r="J741" s="14">
        <v>1970976.92</v>
      </c>
    </row>
    <row r="742" spans="1:10" customFormat="1" ht="12.75" customHeight="1" x14ac:dyDescent="0.2">
      <c r="A742" s="54"/>
      <c r="B742" s="69" t="s">
        <v>117</v>
      </c>
      <c r="C742" s="52">
        <f>SUM(C743:C744)</f>
        <v>600000</v>
      </c>
      <c r="D742" s="52">
        <f>SUM(D743:D744)</f>
        <v>600000</v>
      </c>
      <c r="E742" s="52">
        <f>SUM(E743:E744)</f>
        <v>560369.25</v>
      </c>
      <c r="F742" s="130">
        <f>SUM(E743:E744)</f>
        <v>560369.25</v>
      </c>
      <c r="G742" s="126">
        <f t="shared" si="195"/>
        <v>93.394874999999999</v>
      </c>
      <c r="H742" s="126">
        <f t="shared" si="201"/>
        <v>93.394874999999999</v>
      </c>
      <c r="I742" s="126">
        <f t="shared" si="205"/>
        <v>43.108915574494979</v>
      </c>
      <c r="J742" s="14">
        <v>1299891.78</v>
      </c>
    </row>
    <row r="743" spans="1:10" s="73" customFormat="1" ht="12.75" customHeight="1" x14ac:dyDescent="0.2">
      <c r="A743" s="94"/>
      <c r="B743" s="78" t="s">
        <v>116</v>
      </c>
      <c r="C743" s="52">
        <v>300000</v>
      </c>
      <c r="D743" s="52">
        <v>300000</v>
      </c>
      <c r="E743" s="130">
        <v>261178.75</v>
      </c>
      <c r="F743" s="10"/>
      <c r="G743" s="126">
        <f t="shared" si="195"/>
        <v>87.059583333333336</v>
      </c>
      <c r="H743" s="126">
        <f t="shared" si="201"/>
        <v>87.059583333333336</v>
      </c>
      <c r="I743" s="126">
        <v>0</v>
      </c>
      <c r="J743" s="14">
        <v>0</v>
      </c>
    </row>
    <row r="744" spans="1:10" s="73" customFormat="1" ht="12.75" customHeight="1" x14ac:dyDescent="0.2">
      <c r="A744" s="94"/>
      <c r="B744" s="97" t="s">
        <v>115</v>
      </c>
      <c r="C744" s="64">
        <v>300000</v>
      </c>
      <c r="D744" s="64">
        <v>300000</v>
      </c>
      <c r="E744" s="130">
        <v>299190.5</v>
      </c>
      <c r="F744" s="130"/>
      <c r="G744" s="126">
        <f t="shared" si="195"/>
        <v>99.730166666666662</v>
      </c>
      <c r="H744" s="126">
        <f t="shared" si="201"/>
        <v>99.730166666666662</v>
      </c>
      <c r="I744" s="126">
        <v>0</v>
      </c>
      <c r="J744" s="14">
        <v>0</v>
      </c>
    </row>
    <row r="745" spans="1:10" s="73" customFormat="1" ht="12.75" customHeight="1" x14ac:dyDescent="0.2">
      <c r="A745" s="54"/>
      <c r="B745" s="69" t="s">
        <v>114</v>
      </c>
      <c r="C745" s="95">
        <v>0</v>
      </c>
      <c r="D745" s="95">
        <v>0</v>
      </c>
      <c r="E745" s="95">
        <v>0</v>
      </c>
      <c r="F745" s="499"/>
      <c r="G745" s="501">
        <v>0</v>
      </c>
      <c r="H745" s="501">
        <v>0</v>
      </c>
      <c r="I745" s="126">
        <v>0</v>
      </c>
      <c r="J745" s="14">
        <v>451051.4</v>
      </c>
    </row>
    <row r="746" spans="1:10" customFormat="1" ht="12.75" customHeight="1" x14ac:dyDescent="0.2">
      <c r="A746" s="54"/>
      <c r="B746" s="69" t="s">
        <v>113</v>
      </c>
      <c r="C746" s="9">
        <v>0</v>
      </c>
      <c r="D746" s="9">
        <v>0</v>
      </c>
      <c r="E746" s="9">
        <v>0</v>
      </c>
      <c r="F746" s="130"/>
      <c r="G746" s="126">
        <v>0</v>
      </c>
      <c r="H746" s="126">
        <v>0</v>
      </c>
      <c r="I746" s="126">
        <v>0</v>
      </c>
      <c r="J746" s="14">
        <v>451051.4</v>
      </c>
    </row>
    <row r="747" spans="1:10" customFormat="1" ht="12.75" customHeight="1" x14ac:dyDescent="0.2">
      <c r="A747" s="54"/>
      <c r="B747" s="56" t="s">
        <v>112</v>
      </c>
      <c r="C747" s="82">
        <f>C748+C749</f>
        <v>2500000</v>
      </c>
      <c r="D747" s="82">
        <f>D748+D749</f>
        <v>2000000</v>
      </c>
      <c r="E747" s="82">
        <f>E748+E749</f>
        <v>1226478.49</v>
      </c>
      <c r="F747" s="499">
        <f>SUM(E748:E749)</f>
        <v>1226478.49</v>
      </c>
      <c r="G747" s="501">
        <f t="shared" si="195"/>
        <v>49.059139600000002</v>
      </c>
      <c r="H747" s="501">
        <f t="shared" si="201"/>
        <v>61.323924500000004</v>
      </c>
      <c r="I747" s="501">
        <f t="shared" si="205"/>
        <v>41.432924710373285</v>
      </c>
      <c r="J747" s="14">
        <v>2960154.27</v>
      </c>
    </row>
    <row r="748" spans="1:10" customFormat="1" ht="12.75" customHeight="1" x14ac:dyDescent="0.2">
      <c r="A748" s="54"/>
      <c r="B748" s="69" t="s">
        <v>111</v>
      </c>
      <c r="C748" s="9">
        <v>1500000</v>
      </c>
      <c r="D748" s="9">
        <v>1500000</v>
      </c>
      <c r="E748" s="9">
        <v>1226478.49</v>
      </c>
      <c r="F748" s="130"/>
      <c r="G748" s="126">
        <f t="shared" si="195"/>
        <v>81.765232666666662</v>
      </c>
      <c r="H748" s="126">
        <f t="shared" si="201"/>
        <v>81.765232666666662</v>
      </c>
      <c r="I748" s="126">
        <f t="shared" si="205"/>
        <v>84.089105738601745</v>
      </c>
      <c r="J748" s="14">
        <v>1458546.24</v>
      </c>
    </row>
    <row r="749" spans="1:10" customFormat="1" ht="12.75" customHeight="1" x14ac:dyDescent="0.2">
      <c r="A749" s="54"/>
      <c r="B749" s="85" t="s">
        <v>110</v>
      </c>
      <c r="C749" s="64">
        <f>SUM(C750:C751)</f>
        <v>1000000</v>
      </c>
      <c r="D749" s="64">
        <f>SUM(D750:D751)</f>
        <v>500000</v>
      </c>
      <c r="E749" s="64">
        <f>SUM(E750:E751)</f>
        <v>0</v>
      </c>
      <c r="F749" s="130">
        <f>SUM(E750:E751)</f>
        <v>0</v>
      </c>
      <c r="G749" s="126">
        <f t="shared" si="195"/>
        <v>0</v>
      </c>
      <c r="H749" s="126">
        <f t="shared" si="201"/>
        <v>0</v>
      </c>
      <c r="I749" s="126">
        <f t="shared" si="205"/>
        <v>0</v>
      </c>
      <c r="J749" s="14">
        <v>1501618.03</v>
      </c>
    </row>
    <row r="750" spans="1:10" s="73" customFormat="1" ht="12.75" customHeight="1" x14ac:dyDescent="0.2">
      <c r="A750" s="94"/>
      <c r="B750" s="77" t="s">
        <v>109</v>
      </c>
      <c r="C750" s="9">
        <v>500000</v>
      </c>
      <c r="D750" s="9">
        <f>500000-500000</f>
        <v>0</v>
      </c>
      <c r="E750" s="130">
        <v>0</v>
      </c>
      <c r="F750" s="130"/>
      <c r="G750" s="126">
        <f t="shared" si="195"/>
        <v>0</v>
      </c>
      <c r="H750" s="126">
        <v>0</v>
      </c>
      <c r="I750" s="126">
        <v>0</v>
      </c>
      <c r="J750" s="14">
        <v>0</v>
      </c>
    </row>
    <row r="751" spans="1:10" s="73" customFormat="1" ht="12.75" customHeight="1" x14ac:dyDescent="0.2">
      <c r="A751" s="94"/>
      <c r="B751" s="93" t="s">
        <v>108</v>
      </c>
      <c r="C751" s="10">
        <v>500000</v>
      </c>
      <c r="D751" s="10">
        <v>500000</v>
      </c>
      <c r="E751" s="130">
        <v>0</v>
      </c>
      <c r="F751" s="130"/>
      <c r="G751" s="126">
        <f t="shared" si="195"/>
        <v>0</v>
      </c>
      <c r="H751" s="126">
        <f t="shared" si="201"/>
        <v>0</v>
      </c>
      <c r="I751" s="126">
        <v>0</v>
      </c>
      <c r="J751" s="14">
        <v>0</v>
      </c>
    </row>
    <row r="752" spans="1:10" s="73" customFormat="1" ht="12.75" customHeight="1" x14ac:dyDescent="0.2">
      <c r="A752" s="54"/>
      <c r="B752" s="69" t="s">
        <v>107</v>
      </c>
      <c r="C752" s="9">
        <v>260000</v>
      </c>
      <c r="D752" s="9">
        <v>260000</v>
      </c>
      <c r="E752" s="127">
        <v>118327</v>
      </c>
      <c r="F752" s="127"/>
      <c r="G752" s="126">
        <f t="shared" si="195"/>
        <v>45.510384615384616</v>
      </c>
      <c r="H752" s="126">
        <f t="shared" si="201"/>
        <v>45.510384615384616</v>
      </c>
      <c r="I752" s="126">
        <f t="shared" ref="I752:I759" si="206">E752/J752*100</f>
        <v>65.659087907612161</v>
      </c>
      <c r="J752" s="129">
        <v>180214.2</v>
      </c>
    </row>
    <row r="753" spans="1:10" customFormat="1" ht="12.75" customHeight="1" x14ac:dyDescent="0.2">
      <c r="A753" s="54"/>
      <c r="B753" s="78" t="s">
        <v>1047</v>
      </c>
      <c r="C753" s="9">
        <v>2500000</v>
      </c>
      <c r="D753" s="9">
        <f>2500000+2000-20000+320000</f>
        <v>2802000</v>
      </c>
      <c r="E753" s="10">
        <v>2715146.33</v>
      </c>
      <c r="F753" s="130"/>
      <c r="G753" s="126">
        <f t="shared" si="195"/>
        <v>108.6058532</v>
      </c>
      <c r="H753" s="126">
        <f t="shared" si="201"/>
        <v>96.900297287651682</v>
      </c>
      <c r="I753" s="126">
        <f t="shared" si="206"/>
        <v>134.52989933097899</v>
      </c>
      <c r="J753" s="14">
        <v>2018247.5</v>
      </c>
    </row>
    <row r="754" spans="1:10" customFormat="1" ht="12.75" customHeight="1" x14ac:dyDescent="0.2">
      <c r="A754" s="54"/>
      <c r="B754" s="78" t="s">
        <v>105</v>
      </c>
      <c r="C754" s="9">
        <v>100000</v>
      </c>
      <c r="D754" s="9">
        <v>100000</v>
      </c>
      <c r="E754" s="117">
        <v>83976</v>
      </c>
      <c r="F754" s="11"/>
      <c r="G754" s="126">
        <f t="shared" si="195"/>
        <v>83.975999999999999</v>
      </c>
      <c r="H754" s="126">
        <f t="shared" si="201"/>
        <v>83.975999999999999</v>
      </c>
      <c r="I754" s="126">
        <f t="shared" si="206"/>
        <v>103.55134655223439</v>
      </c>
      <c r="J754" s="14">
        <v>81096</v>
      </c>
    </row>
    <row r="755" spans="1:10" customFormat="1" ht="12.75" customHeight="1" x14ac:dyDescent="0.2">
      <c r="A755" s="54"/>
      <c r="B755" s="78" t="s">
        <v>104</v>
      </c>
      <c r="C755" s="9">
        <v>20000000</v>
      </c>
      <c r="D755" s="9">
        <f>20020000-320000</f>
        <v>19700000</v>
      </c>
      <c r="E755" s="117">
        <v>19669793.07</v>
      </c>
      <c r="F755" s="117"/>
      <c r="G755" s="126">
        <f t="shared" si="195"/>
        <v>98.34896535</v>
      </c>
      <c r="H755" s="126">
        <f t="shared" si="201"/>
        <v>99.846665329949232</v>
      </c>
      <c r="I755" s="126">
        <f t="shared" si="206"/>
        <v>104.99572356779916</v>
      </c>
      <c r="J755" s="14">
        <v>18733899.25</v>
      </c>
    </row>
    <row r="756" spans="1:10" customFormat="1" ht="12.75" customHeight="1" x14ac:dyDescent="0.2">
      <c r="A756" s="92"/>
      <c r="B756" s="85" t="s">
        <v>103</v>
      </c>
      <c r="C756" s="9">
        <v>50000</v>
      </c>
      <c r="D756" s="9">
        <f>50000-50000</f>
        <v>0</v>
      </c>
      <c r="E756" s="130">
        <v>0</v>
      </c>
      <c r="F756" s="130"/>
      <c r="G756" s="126">
        <f t="shared" si="195"/>
        <v>0</v>
      </c>
      <c r="H756" s="126">
        <v>0</v>
      </c>
      <c r="I756" s="126">
        <v>0</v>
      </c>
      <c r="J756" s="6">
        <v>0</v>
      </c>
    </row>
    <row r="757" spans="1:10" customFormat="1" ht="12.75" customHeight="1" x14ac:dyDescent="0.2">
      <c r="A757" s="92"/>
      <c r="B757" s="85" t="s">
        <v>975</v>
      </c>
      <c r="C757" s="9">
        <v>0</v>
      </c>
      <c r="D757" s="9">
        <v>0</v>
      </c>
      <c r="E757" s="130">
        <v>0</v>
      </c>
      <c r="F757" s="130"/>
      <c r="G757" s="126">
        <v>0</v>
      </c>
      <c r="H757" s="126">
        <v>0</v>
      </c>
      <c r="I757" s="126">
        <v>0</v>
      </c>
      <c r="J757" s="6">
        <v>0</v>
      </c>
    </row>
    <row r="758" spans="1:10" customFormat="1" ht="12.75" customHeight="1" x14ac:dyDescent="0.2">
      <c r="A758" s="71">
        <v>3613</v>
      </c>
      <c r="B758" s="91" t="s">
        <v>102</v>
      </c>
      <c r="C758" s="24">
        <f>C759+C768+C769+C770+C775+C787+C786</f>
        <v>25001000</v>
      </c>
      <c r="D758" s="24">
        <f>D759+D768+D769+D770+D775+D787+D786</f>
        <v>28948010.030000001</v>
      </c>
      <c r="E758" s="121">
        <v>17751306.960000001</v>
      </c>
      <c r="F758" s="10">
        <f>SUM(E759,E768:E770,E775,E786:E787)</f>
        <v>17707583.460000001</v>
      </c>
      <c r="G758" s="120">
        <f t="shared" si="195"/>
        <v>71.002387744490221</v>
      </c>
      <c r="H758" s="120">
        <f t="shared" si="201"/>
        <v>61.321337603529912</v>
      </c>
      <c r="I758" s="120">
        <f t="shared" si="206"/>
        <v>70.49487556389137</v>
      </c>
      <c r="J758" s="6">
        <v>25180989.140000001</v>
      </c>
    </row>
    <row r="759" spans="1:10" customFormat="1" ht="12.75" customHeight="1" x14ac:dyDescent="0.2">
      <c r="A759" s="76"/>
      <c r="B759" s="69" t="s">
        <v>101</v>
      </c>
      <c r="C759" s="52">
        <f>SUM(C760:C767)</f>
        <v>6843000</v>
      </c>
      <c r="D759" s="52">
        <f>SUM(D760:D767)</f>
        <v>10750000</v>
      </c>
      <c r="E759" s="130">
        <v>6129845.3099999996</v>
      </c>
      <c r="F759" s="130">
        <f>SUM(E760:E767)</f>
        <v>6129845.3099999996</v>
      </c>
      <c r="G759" s="126">
        <f t="shared" si="195"/>
        <v>89.578332748794381</v>
      </c>
      <c r="H759" s="126">
        <f t="shared" si="201"/>
        <v>57.021816837209293</v>
      </c>
      <c r="I759" s="126">
        <f t="shared" si="206"/>
        <v>49.424217603760582</v>
      </c>
      <c r="J759" s="6">
        <v>12402513.6</v>
      </c>
    </row>
    <row r="760" spans="1:10" customFormat="1" ht="12.75" customHeight="1" x14ac:dyDescent="0.2">
      <c r="A760" s="59"/>
      <c r="B760" s="78" t="s">
        <v>100</v>
      </c>
      <c r="C760" s="89">
        <v>750000</v>
      </c>
      <c r="D760" s="89">
        <v>750000</v>
      </c>
      <c r="E760" s="133">
        <v>0</v>
      </c>
      <c r="F760" s="127"/>
      <c r="G760" s="126">
        <f t="shared" si="195"/>
        <v>0</v>
      </c>
      <c r="H760" s="126">
        <f t="shared" si="201"/>
        <v>0</v>
      </c>
      <c r="I760" s="126">
        <v>0</v>
      </c>
      <c r="J760" s="14">
        <v>3549722.22</v>
      </c>
    </row>
    <row r="761" spans="1:10" customFormat="1" ht="12.75" customHeight="1" x14ac:dyDescent="0.2">
      <c r="A761" s="59"/>
      <c r="B761" s="88" t="s">
        <v>99</v>
      </c>
      <c r="C761" s="64">
        <v>500000</v>
      </c>
      <c r="D761" s="64">
        <v>500000</v>
      </c>
      <c r="E761" s="127">
        <v>0</v>
      </c>
      <c r="F761" s="127">
        <f>E758-F758</f>
        <v>43723.5</v>
      </c>
      <c r="G761" s="126">
        <f t="shared" si="195"/>
        <v>0</v>
      </c>
      <c r="H761" s="126">
        <f t="shared" si="201"/>
        <v>0</v>
      </c>
      <c r="I761" s="126">
        <v>0</v>
      </c>
      <c r="J761" s="6">
        <v>0</v>
      </c>
    </row>
    <row r="762" spans="1:10" customFormat="1" ht="12.75" customHeight="1" x14ac:dyDescent="0.2">
      <c r="A762" s="59"/>
      <c r="B762" s="67" t="s">
        <v>98</v>
      </c>
      <c r="C762" s="64">
        <v>100000</v>
      </c>
      <c r="D762" s="64">
        <v>100000</v>
      </c>
      <c r="E762" s="127">
        <v>0</v>
      </c>
      <c r="F762" s="127"/>
      <c r="G762" s="126">
        <f t="shared" si="195"/>
        <v>0</v>
      </c>
      <c r="H762" s="126">
        <f t="shared" si="201"/>
        <v>0</v>
      </c>
      <c r="I762" s="126">
        <v>0</v>
      </c>
      <c r="J762" s="6">
        <v>320000</v>
      </c>
    </row>
    <row r="763" spans="1:10" customFormat="1" ht="12.75" customHeight="1" x14ac:dyDescent="0.2">
      <c r="A763" s="71"/>
      <c r="B763" s="67" t="s">
        <v>893</v>
      </c>
      <c r="C763" s="9">
        <v>393000</v>
      </c>
      <c r="D763" s="9">
        <f>393000-100000-393000+100000</f>
        <v>0</v>
      </c>
      <c r="E763" s="127">
        <v>0</v>
      </c>
      <c r="F763" s="127"/>
      <c r="G763" s="126">
        <f t="shared" ref="G763:G826" si="207">E763/C763*100</f>
        <v>0</v>
      </c>
      <c r="H763" s="126">
        <v>0</v>
      </c>
      <c r="I763" s="126">
        <v>0</v>
      </c>
      <c r="J763" s="14">
        <v>1008263.24</v>
      </c>
    </row>
    <row r="764" spans="1:10" customFormat="1" ht="12.75" customHeight="1" x14ac:dyDescent="0.2">
      <c r="A764" s="71"/>
      <c r="B764" s="69" t="s">
        <v>97</v>
      </c>
      <c r="C764" s="9">
        <v>2300000</v>
      </c>
      <c r="D764" s="9">
        <f>2300000-2300000</f>
        <v>0</v>
      </c>
      <c r="E764" s="127">
        <v>0</v>
      </c>
      <c r="F764" s="127"/>
      <c r="G764" s="126">
        <f t="shared" si="207"/>
        <v>0</v>
      </c>
      <c r="H764" s="126">
        <v>0</v>
      </c>
      <c r="I764" s="126">
        <v>0</v>
      </c>
      <c r="J764" s="6">
        <v>0</v>
      </c>
    </row>
    <row r="765" spans="1:10" customFormat="1" ht="12.75" customHeight="1" x14ac:dyDescent="0.2">
      <c r="A765" s="71"/>
      <c r="B765" s="88" t="s">
        <v>96</v>
      </c>
      <c r="C765" s="9">
        <v>100000</v>
      </c>
      <c r="D765" s="10">
        <v>100000</v>
      </c>
      <c r="E765" s="127">
        <v>7986</v>
      </c>
      <c r="F765" s="127"/>
      <c r="G765" s="130">
        <f t="shared" si="207"/>
        <v>7.9859999999999998</v>
      </c>
      <c r="H765" s="130">
        <f t="shared" si="201"/>
        <v>7.9859999999999998</v>
      </c>
      <c r="I765" s="130">
        <v>0</v>
      </c>
      <c r="J765" s="6">
        <v>0</v>
      </c>
    </row>
    <row r="766" spans="1:10" customFormat="1" ht="12.75" customHeight="1" x14ac:dyDescent="0.2">
      <c r="A766" s="71"/>
      <c r="B766" s="69" t="s">
        <v>911</v>
      </c>
      <c r="C766" s="10">
        <v>2000000</v>
      </c>
      <c r="D766" s="10">
        <f>2000000+(6000000+3200000-2000000)</f>
        <v>9200000</v>
      </c>
      <c r="E766" s="127">
        <v>6121859.3099999996</v>
      </c>
      <c r="F766" s="127"/>
      <c r="G766" s="130">
        <f t="shared" si="207"/>
        <v>306.09296549999999</v>
      </c>
      <c r="H766" s="130">
        <f>E766/D766*100</f>
        <v>66.541949021739129</v>
      </c>
      <c r="I766" s="130">
        <v>0</v>
      </c>
      <c r="J766" s="6">
        <v>0</v>
      </c>
    </row>
    <row r="767" spans="1:10" customFormat="1" ht="12.75" customHeight="1" x14ac:dyDescent="0.2">
      <c r="A767" s="71"/>
      <c r="B767" s="69" t="s">
        <v>95</v>
      </c>
      <c r="C767" s="9">
        <v>700000</v>
      </c>
      <c r="D767" s="9">
        <f>700000-600000</f>
        <v>100000</v>
      </c>
      <c r="E767" s="133">
        <v>0</v>
      </c>
      <c r="F767" s="133"/>
      <c r="G767" s="126">
        <f t="shared" si="207"/>
        <v>0</v>
      </c>
      <c r="H767" s="130">
        <f t="shared" ref="H767:H830" si="208">E767/D767*100</f>
        <v>0</v>
      </c>
      <c r="I767" s="130">
        <v>0</v>
      </c>
      <c r="J767" s="14">
        <v>0</v>
      </c>
    </row>
    <row r="768" spans="1:10" customFormat="1" ht="12.75" customHeight="1" x14ac:dyDescent="0.2">
      <c r="A768" s="76"/>
      <c r="B768" s="87" t="s">
        <v>94</v>
      </c>
      <c r="C768" s="9">
        <v>30000</v>
      </c>
      <c r="D768" s="9">
        <v>30000</v>
      </c>
      <c r="E768" s="11">
        <v>12279.08</v>
      </c>
      <c r="F768" s="152"/>
      <c r="G768" s="126">
        <f t="shared" si="207"/>
        <v>40.930266666666668</v>
      </c>
      <c r="H768" s="130">
        <f t="shared" si="208"/>
        <v>40.930266666666668</v>
      </c>
      <c r="I768" s="130">
        <v>0</v>
      </c>
      <c r="J768" s="14">
        <v>0</v>
      </c>
    </row>
    <row r="769" spans="1:10" customFormat="1" ht="12.75" customHeight="1" x14ac:dyDescent="0.2">
      <c r="A769" s="76"/>
      <c r="B769" s="87" t="s">
        <v>93</v>
      </c>
      <c r="C769" s="9">
        <v>50000</v>
      </c>
      <c r="D769" s="9">
        <f>50000+20000</f>
        <v>70000</v>
      </c>
      <c r="E769" s="104">
        <v>63421.77</v>
      </c>
      <c r="F769" s="206"/>
      <c r="G769" s="126">
        <f t="shared" si="207"/>
        <v>126.84354</v>
      </c>
      <c r="H769" s="130">
        <f t="shared" si="208"/>
        <v>90.602528571428564</v>
      </c>
      <c r="I769" s="130">
        <f t="shared" ref="I769:I792" si="209">E769/J769*100</f>
        <v>1449.9917694344231</v>
      </c>
      <c r="J769" s="14">
        <v>4373.9399999999996</v>
      </c>
    </row>
    <row r="770" spans="1:10" customFormat="1" ht="12.75" customHeight="1" x14ac:dyDescent="0.2">
      <c r="A770" s="76"/>
      <c r="B770" s="87" t="s">
        <v>92</v>
      </c>
      <c r="C770" s="9">
        <f>SUM(C771:C774)</f>
        <v>5100000</v>
      </c>
      <c r="D770" s="9">
        <f>SUM(D771:D774)</f>
        <v>5150000</v>
      </c>
      <c r="E770" s="9">
        <v>2969192.08</v>
      </c>
      <c r="F770" s="507">
        <f>SUM(E771:E774)</f>
        <v>2969192.08</v>
      </c>
      <c r="G770" s="126">
        <f t="shared" si="207"/>
        <v>58.219452549019614</v>
      </c>
      <c r="H770" s="130">
        <f t="shared" si="208"/>
        <v>57.654215145631071</v>
      </c>
      <c r="I770" s="130">
        <f t="shared" si="209"/>
        <v>76.598530752057428</v>
      </c>
      <c r="J770" s="6">
        <v>3876304.22</v>
      </c>
    </row>
    <row r="771" spans="1:10" customFormat="1" ht="12.75" customHeight="1" x14ac:dyDescent="0.2">
      <c r="A771" s="59"/>
      <c r="B771" s="85" t="s">
        <v>91</v>
      </c>
      <c r="C771" s="52">
        <v>800000</v>
      </c>
      <c r="D771" s="52">
        <f>800000+50000</f>
        <v>850000</v>
      </c>
      <c r="E771" s="9">
        <v>606519.74</v>
      </c>
      <c r="F771" s="126"/>
      <c r="G771" s="126">
        <f t="shared" si="207"/>
        <v>75.814967499999995</v>
      </c>
      <c r="H771" s="130">
        <f t="shared" si="208"/>
        <v>71.355263529411758</v>
      </c>
      <c r="I771" s="130">
        <f t="shared" si="209"/>
        <v>83.413388096577648</v>
      </c>
      <c r="J771" s="6">
        <v>727125.17</v>
      </c>
    </row>
    <row r="772" spans="1:10" customFormat="1" ht="12.75" customHeight="1" x14ac:dyDescent="0.2">
      <c r="A772" s="59"/>
      <c r="B772" s="85" t="s">
        <v>90</v>
      </c>
      <c r="C772" s="52">
        <v>1500000</v>
      </c>
      <c r="D772" s="52">
        <v>1500000</v>
      </c>
      <c r="E772" s="10">
        <v>599205.32999999996</v>
      </c>
      <c r="F772" s="130"/>
      <c r="G772" s="126">
        <f t="shared" si="207"/>
        <v>39.947021999999997</v>
      </c>
      <c r="H772" s="130">
        <f t="shared" si="208"/>
        <v>39.947021999999997</v>
      </c>
      <c r="I772" s="130">
        <f t="shared" si="209"/>
        <v>74.095927057808723</v>
      </c>
      <c r="J772" s="14">
        <v>808688.62</v>
      </c>
    </row>
    <row r="773" spans="1:10" customFormat="1" ht="12.75" customHeight="1" x14ac:dyDescent="0.2">
      <c r="A773" s="59"/>
      <c r="B773" s="85" t="s">
        <v>89</v>
      </c>
      <c r="C773" s="52">
        <v>1100000</v>
      </c>
      <c r="D773" s="52">
        <v>1100000</v>
      </c>
      <c r="E773" s="10">
        <v>863306.85</v>
      </c>
      <c r="F773" s="130"/>
      <c r="G773" s="126">
        <f t="shared" si="207"/>
        <v>78.482440909090911</v>
      </c>
      <c r="H773" s="130">
        <f t="shared" si="208"/>
        <v>78.482440909090911</v>
      </c>
      <c r="I773" s="130">
        <f t="shared" si="209"/>
        <v>104.3606850247256</v>
      </c>
      <c r="J773" s="14">
        <v>827233.79</v>
      </c>
    </row>
    <row r="774" spans="1:10" customFormat="1" ht="12.75" customHeight="1" x14ac:dyDescent="0.2">
      <c r="A774" s="59"/>
      <c r="B774" s="85" t="s">
        <v>88</v>
      </c>
      <c r="C774" s="10">
        <v>1700000</v>
      </c>
      <c r="D774" s="10">
        <v>1700000</v>
      </c>
      <c r="E774" s="10">
        <v>900160.16</v>
      </c>
      <c r="F774" s="130"/>
      <c r="G774" s="126">
        <f t="shared" si="207"/>
        <v>52.950597647058828</v>
      </c>
      <c r="H774" s="130">
        <f t="shared" si="208"/>
        <v>52.950597647058828</v>
      </c>
      <c r="I774" s="130">
        <f t="shared" si="209"/>
        <v>59.484963502291336</v>
      </c>
      <c r="J774" s="14">
        <v>1513256.64</v>
      </c>
    </row>
    <row r="775" spans="1:10" customFormat="1" ht="12.75" customHeight="1" x14ac:dyDescent="0.2">
      <c r="A775" s="76"/>
      <c r="B775" s="87" t="s">
        <v>87</v>
      </c>
      <c r="C775" s="10">
        <f>SUM(C776:C785)</f>
        <v>4250000</v>
      </c>
      <c r="D775" s="10">
        <f>SUM(D776:D785)</f>
        <v>4085700</v>
      </c>
      <c r="E775" s="10">
        <f>SUM(E776:E785)</f>
        <v>2694273.48</v>
      </c>
      <c r="F775" s="130">
        <f>SUM(E776:E785)</f>
        <v>2694273.48</v>
      </c>
      <c r="G775" s="126">
        <f t="shared" si="207"/>
        <v>63.394670117647053</v>
      </c>
      <c r="H775" s="130">
        <f t="shared" si="208"/>
        <v>65.943987076877889</v>
      </c>
      <c r="I775" s="130">
        <f t="shared" si="209"/>
        <v>83.778806586687864</v>
      </c>
      <c r="J775" s="14">
        <v>3215936.81</v>
      </c>
    </row>
    <row r="776" spans="1:10" customFormat="1" ht="12.75" customHeight="1" x14ac:dyDescent="0.2">
      <c r="A776" s="59"/>
      <c r="B776" s="69" t="s">
        <v>86</v>
      </c>
      <c r="C776" s="10">
        <v>200000</v>
      </c>
      <c r="D776" s="10">
        <v>200000</v>
      </c>
      <c r="E776" s="10">
        <v>0</v>
      </c>
      <c r="F776" s="130"/>
      <c r="G776" s="126">
        <f t="shared" si="207"/>
        <v>0</v>
      </c>
      <c r="H776" s="130">
        <f t="shared" si="208"/>
        <v>0</v>
      </c>
      <c r="I776" s="130">
        <v>0</v>
      </c>
      <c r="J776" s="14">
        <v>0</v>
      </c>
    </row>
    <row r="777" spans="1:10" customFormat="1" ht="12.75" customHeight="1" x14ac:dyDescent="0.2">
      <c r="A777" s="59"/>
      <c r="B777" s="69" t="s">
        <v>85</v>
      </c>
      <c r="C777" s="10">
        <v>50000</v>
      </c>
      <c r="D777" s="10">
        <v>50000</v>
      </c>
      <c r="E777" s="10">
        <v>0</v>
      </c>
      <c r="F777" s="130"/>
      <c r="G777" s="126">
        <f t="shared" si="207"/>
        <v>0</v>
      </c>
      <c r="H777" s="130">
        <f t="shared" si="208"/>
        <v>0</v>
      </c>
      <c r="I777" s="130">
        <v>0</v>
      </c>
      <c r="J777" s="6">
        <v>0</v>
      </c>
    </row>
    <row r="778" spans="1:10" customFormat="1" ht="12.75" customHeight="1" x14ac:dyDescent="0.2">
      <c r="A778" s="59"/>
      <c r="B778" s="85" t="s">
        <v>84</v>
      </c>
      <c r="C778" s="10">
        <v>1300000</v>
      </c>
      <c r="D778" s="10">
        <f>1300000-70000+15000</f>
        <v>1245000</v>
      </c>
      <c r="E778" s="10">
        <v>855745.48</v>
      </c>
      <c r="F778" s="130"/>
      <c r="G778" s="126">
        <f t="shared" si="207"/>
        <v>65.826575384615381</v>
      </c>
      <c r="H778" s="130">
        <f t="shared" si="208"/>
        <v>68.734576706827312</v>
      </c>
      <c r="I778" s="130">
        <f t="shared" si="209"/>
        <v>68.498746800503284</v>
      </c>
      <c r="J778" s="14">
        <v>1249286.33</v>
      </c>
    </row>
    <row r="779" spans="1:10" customFormat="1" ht="12.75" customHeight="1" x14ac:dyDescent="0.2">
      <c r="A779" s="59"/>
      <c r="B779" s="56" t="s">
        <v>976</v>
      </c>
      <c r="C779" s="10">
        <v>100000</v>
      </c>
      <c r="D779" s="10">
        <v>100000</v>
      </c>
      <c r="E779" s="9">
        <v>0</v>
      </c>
      <c r="F779" s="126"/>
      <c r="G779" s="126">
        <f t="shared" si="207"/>
        <v>0</v>
      </c>
      <c r="H779" s="130">
        <f t="shared" si="208"/>
        <v>0</v>
      </c>
      <c r="I779" s="130">
        <v>0</v>
      </c>
      <c r="J779" s="14">
        <v>8712</v>
      </c>
    </row>
    <row r="780" spans="1:10" customFormat="1" ht="12.75" customHeight="1" x14ac:dyDescent="0.2">
      <c r="A780" s="59"/>
      <c r="B780" s="67" t="s">
        <v>82</v>
      </c>
      <c r="C780" s="10">
        <v>250000</v>
      </c>
      <c r="D780" s="10">
        <v>250000</v>
      </c>
      <c r="E780" s="9">
        <v>13818</v>
      </c>
      <c r="F780" s="126"/>
      <c r="G780" s="126">
        <f t="shared" si="207"/>
        <v>5.5272000000000006</v>
      </c>
      <c r="H780" s="130">
        <f t="shared" si="208"/>
        <v>5.5272000000000006</v>
      </c>
      <c r="I780" s="130">
        <v>0</v>
      </c>
      <c r="J780" s="14">
        <v>0</v>
      </c>
    </row>
    <row r="781" spans="1:10" customFormat="1" ht="12.75" customHeight="1" x14ac:dyDescent="0.2">
      <c r="A781" s="59"/>
      <c r="B781" s="69" t="s">
        <v>81</v>
      </c>
      <c r="C781" s="10">
        <v>700000</v>
      </c>
      <c r="D781" s="10">
        <v>700000</v>
      </c>
      <c r="E781" s="10">
        <v>319490</v>
      </c>
      <c r="F781" s="130"/>
      <c r="G781" s="126">
        <f t="shared" si="207"/>
        <v>45.64142857142857</v>
      </c>
      <c r="H781" s="130">
        <f t="shared" si="208"/>
        <v>45.64142857142857</v>
      </c>
      <c r="I781" s="130">
        <f t="shared" si="209"/>
        <v>79.10890132991301</v>
      </c>
      <c r="J781" s="14">
        <v>403861</v>
      </c>
    </row>
    <row r="782" spans="1:10" customFormat="1" ht="12.75" customHeight="1" x14ac:dyDescent="0.2">
      <c r="A782" s="59"/>
      <c r="B782" s="67" t="s">
        <v>80</v>
      </c>
      <c r="C782" s="10">
        <v>1550000</v>
      </c>
      <c r="D782" s="10">
        <f>1550000+10700-70000</f>
        <v>1490700</v>
      </c>
      <c r="E782" s="130">
        <v>1490700</v>
      </c>
      <c r="F782" s="130"/>
      <c r="G782" s="126">
        <f t="shared" si="207"/>
        <v>96.174193548387095</v>
      </c>
      <c r="H782" s="130">
        <f t="shared" si="208"/>
        <v>100</v>
      </c>
      <c r="I782" s="130">
        <f t="shared" si="209"/>
        <v>100.69235705359856</v>
      </c>
      <c r="J782" s="14">
        <v>1480450</v>
      </c>
    </row>
    <row r="783" spans="1:10" customFormat="1" ht="12.75" customHeight="1" x14ac:dyDescent="0.2">
      <c r="A783" s="86"/>
      <c r="B783" s="85" t="s">
        <v>79</v>
      </c>
      <c r="C783" s="10">
        <v>50000</v>
      </c>
      <c r="D783" s="10">
        <f>50000-50000</f>
        <v>0</v>
      </c>
      <c r="E783" s="130">
        <v>0</v>
      </c>
      <c r="F783" s="130"/>
      <c r="G783" s="126">
        <f t="shared" si="207"/>
        <v>0</v>
      </c>
      <c r="H783" s="130">
        <v>0</v>
      </c>
      <c r="I783" s="130">
        <v>0</v>
      </c>
      <c r="J783" s="14">
        <v>0</v>
      </c>
    </row>
    <row r="784" spans="1:10" customFormat="1" ht="12.75" customHeight="1" x14ac:dyDescent="0.2">
      <c r="A784" s="76"/>
      <c r="B784" s="69" t="s">
        <v>78</v>
      </c>
      <c r="C784" s="10">
        <v>15000</v>
      </c>
      <c r="D784" s="10">
        <v>15000</v>
      </c>
      <c r="E784" s="130">
        <v>0</v>
      </c>
      <c r="F784" s="130"/>
      <c r="G784" s="126">
        <f t="shared" si="207"/>
        <v>0</v>
      </c>
      <c r="H784" s="130">
        <f t="shared" si="208"/>
        <v>0</v>
      </c>
      <c r="I784" s="130">
        <v>0</v>
      </c>
      <c r="J784" s="14">
        <v>0</v>
      </c>
    </row>
    <row r="785" spans="1:10" customFormat="1" ht="12.75" customHeight="1" x14ac:dyDescent="0.2">
      <c r="A785" s="76"/>
      <c r="B785" s="78" t="s">
        <v>77</v>
      </c>
      <c r="C785" s="10">
        <v>35000</v>
      </c>
      <c r="D785" s="10">
        <v>35000</v>
      </c>
      <c r="E785" s="130">
        <v>14520</v>
      </c>
      <c r="F785" s="130"/>
      <c r="G785" s="126">
        <f t="shared" si="207"/>
        <v>41.485714285714288</v>
      </c>
      <c r="H785" s="130">
        <f t="shared" si="208"/>
        <v>41.485714285714288</v>
      </c>
      <c r="I785" s="130">
        <v>0</v>
      </c>
      <c r="J785" s="14">
        <v>0</v>
      </c>
    </row>
    <row r="786" spans="1:10" customFormat="1" ht="12.75" customHeight="1" x14ac:dyDescent="0.2">
      <c r="A786" s="76"/>
      <c r="B786" s="67" t="s">
        <v>970</v>
      </c>
      <c r="C786" s="10">
        <v>486000</v>
      </c>
      <c r="D786" s="10">
        <f>486000+48594.03-386000-100000</f>
        <v>48594.030000000028</v>
      </c>
      <c r="E786" s="10">
        <v>48594.03</v>
      </c>
      <c r="F786" s="130"/>
      <c r="G786" s="126">
        <f t="shared" si="207"/>
        <v>9.9987716049382716</v>
      </c>
      <c r="H786" s="130">
        <f t="shared" si="208"/>
        <v>99.999999999999943</v>
      </c>
      <c r="I786" s="130">
        <v>0</v>
      </c>
      <c r="J786" s="14">
        <v>0</v>
      </c>
    </row>
    <row r="787" spans="1:10" customFormat="1" ht="12.75" customHeight="1" x14ac:dyDescent="0.2">
      <c r="A787" s="76"/>
      <c r="B787" s="69" t="s">
        <v>76</v>
      </c>
      <c r="C787" s="10">
        <f>C788+C795+C805</f>
        <v>8242000</v>
      </c>
      <c r="D787" s="10">
        <f>D788+D795+D805</f>
        <v>8813716</v>
      </c>
      <c r="E787" s="10">
        <f>E788+E795+E805</f>
        <v>5789977.7100000009</v>
      </c>
      <c r="F787" s="10">
        <f>SUM(E788,E795,E805)</f>
        <v>5789977.7100000009</v>
      </c>
      <c r="G787" s="126">
        <f>E787/C787*100</f>
        <v>70.249668891045872</v>
      </c>
      <c r="H787" s="130">
        <f>E787/D787*100</f>
        <v>65.692810047430626</v>
      </c>
      <c r="I787" s="130">
        <f>E787/J787*100</f>
        <v>119.0545959048771</v>
      </c>
      <c r="J787" s="14">
        <v>4863296.26</v>
      </c>
    </row>
    <row r="788" spans="1:10" customFormat="1" ht="12.75" customHeight="1" x14ac:dyDescent="0.2">
      <c r="A788" s="59"/>
      <c r="B788" s="84" t="s">
        <v>75</v>
      </c>
      <c r="C788" s="83">
        <f>C789+C790</f>
        <v>4742000</v>
      </c>
      <c r="D788" s="83">
        <f>D789+D790</f>
        <v>4613716</v>
      </c>
      <c r="E788" s="83">
        <f>E789+E790</f>
        <v>3302263.4200000004</v>
      </c>
      <c r="F788" s="499">
        <f>SUM(E789:E790)</f>
        <v>3302263.4200000004</v>
      </c>
      <c r="G788" s="501">
        <f t="shared" si="207"/>
        <v>69.638621256853668</v>
      </c>
      <c r="H788" s="130">
        <f t="shared" si="208"/>
        <v>71.574917485168143</v>
      </c>
      <c r="I788" s="499">
        <f t="shared" si="209"/>
        <v>85.411580094412514</v>
      </c>
      <c r="J788" s="14">
        <v>3866294.73</v>
      </c>
    </row>
    <row r="789" spans="1:10" customFormat="1" ht="12.75" customHeight="1" x14ac:dyDescent="0.2">
      <c r="A789" s="59"/>
      <c r="B789" s="69" t="s">
        <v>74</v>
      </c>
      <c r="C789" s="10">
        <v>1500000</v>
      </c>
      <c r="D789" s="10">
        <f>1500000+250000+11221+10495</f>
        <v>1771716</v>
      </c>
      <c r="E789" s="130">
        <v>949600.91</v>
      </c>
      <c r="F789" s="130"/>
      <c r="G789" s="126">
        <f t="shared" si="207"/>
        <v>63.306727333333335</v>
      </c>
      <c r="H789" s="130">
        <f t="shared" si="208"/>
        <v>53.597806307557192</v>
      </c>
      <c r="I789" s="130">
        <f t="shared" si="209"/>
        <v>65.768138045194817</v>
      </c>
      <c r="J789" s="14">
        <v>1443861.63</v>
      </c>
    </row>
    <row r="790" spans="1:10" customFormat="1" ht="12.75" customHeight="1" x14ac:dyDescent="0.2">
      <c r="A790" s="59"/>
      <c r="B790" s="69" t="s">
        <v>73</v>
      </c>
      <c r="C790" s="10">
        <f xml:space="preserve"> SUM(C791:C794)</f>
        <v>3242000</v>
      </c>
      <c r="D790" s="10">
        <f xml:space="preserve"> SUM(D791:D794)</f>
        <v>2842000</v>
      </c>
      <c r="E790" s="10">
        <f xml:space="preserve"> SUM(E791:E794)</f>
        <v>2352662.5100000002</v>
      </c>
      <c r="F790" s="130">
        <f>SUM(E791:E794)</f>
        <v>2352662.5100000002</v>
      </c>
      <c r="G790" s="126">
        <f t="shared" si="207"/>
        <v>72.56824521900063</v>
      </c>
      <c r="H790" s="130">
        <f t="shared" si="208"/>
        <v>82.781932090077419</v>
      </c>
      <c r="I790" s="130">
        <f t="shared" si="209"/>
        <v>97.119813546140861</v>
      </c>
      <c r="J790" s="14">
        <v>2422433.1</v>
      </c>
    </row>
    <row r="791" spans="1:10" s="73" customFormat="1" ht="12.75" customHeight="1" x14ac:dyDescent="0.2">
      <c r="A791" s="76"/>
      <c r="B791" s="77" t="s">
        <v>72</v>
      </c>
      <c r="C791" s="10">
        <v>2192000</v>
      </c>
      <c r="D791" s="10">
        <v>2192000</v>
      </c>
      <c r="E791" s="127">
        <v>2152841.91</v>
      </c>
      <c r="F791" s="127"/>
      <c r="G791" s="126">
        <f t="shared" si="207"/>
        <v>98.213590784671538</v>
      </c>
      <c r="H791" s="130">
        <f t="shared" si="208"/>
        <v>98.213590784671538</v>
      </c>
      <c r="I791" s="130">
        <f t="shared" si="209"/>
        <v>172.78484933663924</v>
      </c>
      <c r="J791" s="14">
        <v>1245966.83</v>
      </c>
    </row>
    <row r="792" spans="1:10" s="73" customFormat="1" ht="12.75" customHeight="1" x14ac:dyDescent="0.2">
      <c r="A792" s="76"/>
      <c r="B792" s="81" t="s">
        <v>71</v>
      </c>
      <c r="C792" s="80">
        <v>600000</v>
      </c>
      <c r="D792" s="80">
        <f>600000-400000</f>
        <v>200000</v>
      </c>
      <c r="E792" s="718">
        <v>199820.6</v>
      </c>
      <c r="F792" s="531"/>
      <c r="G792" s="126">
        <f t="shared" si="207"/>
        <v>33.303433333333331</v>
      </c>
      <c r="H792" s="130">
        <f t="shared" si="208"/>
        <v>99.910300000000007</v>
      </c>
      <c r="I792" s="130">
        <f t="shared" si="209"/>
        <v>24.439112614106996</v>
      </c>
      <c r="J792" s="6">
        <v>817626.25</v>
      </c>
    </row>
    <row r="793" spans="1:10" s="73" customFormat="1" ht="12.75" customHeight="1" x14ac:dyDescent="0.2">
      <c r="A793" s="76"/>
      <c r="B793" s="81" t="s">
        <v>70</v>
      </c>
      <c r="C793" s="80">
        <v>200000</v>
      </c>
      <c r="D793" s="80">
        <v>200000</v>
      </c>
      <c r="E793" s="719">
        <v>0</v>
      </c>
      <c r="F793" s="496"/>
      <c r="G793" s="126">
        <f t="shared" si="207"/>
        <v>0</v>
      </c>
      <c r="H793" s="130">
        <f t="shared" si="208"/>
        <v>0</v>
      </c>
      <c r="I793" s="130">
        <v>0</v>
      </c>
      <c r="J793" s="14">
        <v>0</v>
      </c>
    </row>
    <row r="794" spans="1:10" s="73" customFormat="1" ht="12.75" customHeight="1" x14ac:dyDescent="0.2">
      <c r="A794" s="76"/>
      <c r="B794" s="81" t="s">
        <v>69</v>
      </c>
      <c r="C794" s="80">
        <v>250000</v>
      </c>
      <c r="D794" s="80">
        <v>250000</v>
      </c>
      <c r="E794" s="719">
        <v>0</v>
      </c>
      <c r="F794" s="496"/>
      <c r="G794" s="126">
        <f t="shared" si="207"/>
        <v>0</v>
      </c>
      <c r="H794" s="130">
        <f t="shared" si="208"/>
        <v>0</v>
      </c>
      <c r="I794" s="130">
        <v>0</v>
      </c>
      <c r="J794" s="6">
        <v>1245966.83</v>
      </c>
    </row>
    <row r="795" spans="1:10" s="73" customFormat="1" ht="12.75" customHeight="1" x14ac:dyDescent="0.2">
      <c r="A795" s="59"/>
      <c r="B795" s="69" t="s">
        <v>68</v>
      </c>
      <c r="C795" s="79">
        <f>SUM(C796:C797)</f>
        <v>2700000</v>
      </c>
      <c r="D795" s="79">
        <f>SUM(D796:D797)</f>
        <v>3400000</v>
      </c>
      <c r="E795" s="79">
        <f>SUM(E796:E797)</f>
        <v>1943058.88</v>
      </c>
      <c r="F795" s="720">
        <f>SUM(E796:E797)</f>
        <v>1943058.88</v>
      </c>
      <c r="G795" s="501">
        <f t="shared" si="207"/>
        <v>71.965143703703703</v>
      </c>
      <c r="H795" s="130">
        <f t="shared" si="208"/>
        <v>57.148790588235286</v>
      </c>
      <c r="I795" s="499">
        <f t="shared" ref="I795:I843" si="210">E795/J795*100</f>
        <v>194.89026059970035</v>
      </c>
      <c r="J795" s="14">
        <v>997001.53</v>
      </c>
    </row>
    <row r="796" spans="1:10" s="73" customFormat="1" ht="12.75" customHeight="1" x14ac:dyDescent="0.2">
      <c r="A796" s="59"/>
      <c r="B796" s="69" t="s">
        <v>67</v>
      </c>
      <c r="C796" s="52">
        <v>600000</v>
      </c>
      <c r="D796" s="52">
        <f>600000+500000</f>
        <v>1100000</v>
      </c>
      <c r="E796" s="719">
        <v>1095500.1599999999</v>
      </c>
      <c r="F796" s="496"/>
      <c r="G796" s="126">
        <f t="shared" si="207"/>
        <v>182.58336</v>
      </c>
      <c r="H796" s="130">
        <f t="shared" si="208"/>
        <v>99.590923636363627</v>
      </c>
      <c r="I796" s="130">
        <f t="shared" si="210"/>
        <v>238.30509695698683</v>
      </c>
      <c r="J796" s="6">
        <v>459704.88</v>
      </c>
    </row>
    <row r="797" spans="1:10" s="73" customFormat="1" ht="12.75" customHeight="1" x14ac:dyDescent="0.2">
      <c r="A797" s="59"/>
      <c r="B797" s="69" t="s">
        <v>66</v>
      </c>
      <c r="C797" s="52">
        <f>SUM(C798:C804)</f>
        <v>2100000</v>
      </c>
      <c r="D797" s="52">
        <f>SUM(D798:D804)</f>
        <v>2300000</v>
      </c>
      <c r="E797" s="52">
        <f>SUM(E798:E804)</f>
        <v>847558.72</v>
      </c>
      <c r="F797" s="206">
        <f>SUM(E798:E804)</f>
        <v>847558.72</v>
      </c>
      <c r="G797" s="126">
        <f t="shared" si="207"/>
        <v>40.359939047619051</v>
      </c>
      <c r="H797" s="130">
        <f t="shared" si="208"/>
        <v>36.850379130434781</v>
      </c>
      <c r="I797" s="130">
        <f t="shared" si="210"/>
        <v>157.74502223306249</v>
      </c>
      <c r="J797" s="14">
        <v>537296.65</v>
      </c>
    </row>
    <row r="798" spans="1:10" customFormat="1" ht="12.75" customHeight="1" x14ac:dyDescent="0.2">
      <c r="A798" s="76"/>
      <c r="B798" s="78" t="s">
        <v>65</v>
      </c>
      <c r="C798" s="64">
        <v>500000</v>
      </c>
      <c r="D798" s="64">
        <f>500000-300000</f>
        <v>200000</v>
      </c>
      <c r="E798" s="719">
        <v>145000</v>
      </c>
      <c r="F798" s="496"/>
      <c r="G798" s="126">
        <f t="shared" si="207"/>
        <v>28.999999999999996</v>
      </c>
      <c r="H798" s="130">
        <f t="shared" si="208"/>
        <v>72.5</v>
      </c>
      <c r="I798" s="130">
        <v>0</v>
      </c>
      <c r="J798" s="6">
        <v>0</v>
      </c>
    </row>
    <row r="799" spans="1:10" customFormat="1" ht="12.75" customHeight="1" x14ac:dyDescent="0.2">
      <c r="A799" s="76"/>
      <c r="B799" s="72" t="s">
        <v>64</v>
      </c>
      <c r="C799" s="52">
        <v>100000</v>
      </c>
      <c r="D799" s="52">
        <v>100000</v>
      </c>
      <c r="E799" s="719">
        <v>0</v>
      </c>
      <c r="F799" s="496"/>
      <c r="G799" s="126">
        <f t="shared" si="207"/>
        <v>0</v>
      </c>
      <c r="H799" s="130">
        <f t="shared" si="208"/>
        <v>0</v>
      </c>
      <c r="I799" s="130">
        <v>0</v>
      </c>
      <c r="J799" s="14">
        <v>0</v>
      </c>
    </row>
    <row r="800" spans="1:10" s="73" customFormat="1" ht="12.75" customHeight="1" x14ac:dyDescent="0.2">
      <c r="A800" s="76"/>
      <c r="B800" s="78" t="s">
        <v>63</v>
      </c>
      <c r="C800" s="52">
        <v>200000</v>
      </c>
      <c r="D800" s="52">
        <v>200000</v>
      </c>
      <c r="E800" s="719">
        <v>0</v>
      </c>
      <c r="F800" s="496"/>
      <c r="G800" s="126">
        <f t="shared" si="207"/>
        <v>0</v>
      </c>
      <c r="H800" s="130">
        <f t="shared" si="208"/>
        <v>0</v>
      </c>
      <c r="I800" s="130">
        <v>0</v>
      </c>
      <c r="J800" s="14">
        <v>0</v>
      </c>
    </row>
    <row r="801" spans="1:107" s="73" customFormat="1" ht="12.75" customHeight="1" x14ac:dyDescent="0.2">
      <c r="A801" s="76"/>
      <c r="B801" s="72" t="s">
        <v>62</v>
      </c>
      <c r="C801" s="9">
        <v>200000</v>
      </c>
      <c r="D801" s="9">
        <v>200000</v>
      </c>
      <c r="E801" s="719">
        <v>0</v>
      </c>
      <c r="F801" s="496"/>
      <c r="G801" s="126">
        <f t="shared" si="207"/>
        <v>0</v>
      </c>
      <c r="H801" s="130">
        <f t="shared" si="208"/>
        <v>0</v>
      </c>
      <c r="I801" s="130">
        <v>0</v>
      </c>
      <c r="J801" s="14">
        <v>0</v>
      </c>
    </row>
    <row r="802" spans="1:107" s="73" customFormat="1" ht="12.75" customHeight="1" x14ac:dyDescent="0.2">
      <c r="A802" s="76"/>
      <c r="B802" s="72" t="s">
        <v>61</v>
      </c>
      <c r="C802" s="10">
        <v>300000</v>
      </c>
      <c r="D802" s="10">
        <v>300000</v>
      </c>
      <c r="E802" s="719">
        <v>165165</v>
      </c>
      <c r="F802" s="496"/>
      <c r="G802" s="126">
        <f t="shared" si="207"/>
        <v>55.055</v>
      </c>
      <c r="H802" s="130">
        <f t="shared" si="208"/>
        <v>55.055</v>
      </c>
      <c r="I802" s="130">
        <f t="shared" si="210"/>
        <v>667.3185040332437</v>
      </c>
      <c r="J802" s="6">
        <v>24750.55</v>
      </c>
    </row>
    <row r="803" spans="1:107" s="73" customFormat="1" ht="12.75" customHeight="1" x14ac:dyDescent="0.2">
      <c r="A803" s="76"/>
      <c r="B803" s="77" t="s">
        <v>60</v>
      </c>
      <c r="C803" s="9">
        <v>800000</v>
      </c>
      <c r="D803" s="9">
        <v>800000</v>
      </c>
      <c r="E803" s="719">
        <v>62066.95</v>
      </c>
      <c r="F803" s="496"/>
      <c r="G803" s="126">
        <f t="shared" si="207"/>
        <v>7.7583687499999998</v>
      </c>
      <c r="H803" s="130">
        <f t="shared" si="208"/>
        <v>7.7583687499999998</v>
      </c>
      <c r="I803" s="130">
        <f t="shared" si="210"/>
        <v>722.46478873239437</v>
      </c>
      <c r="J803" s="14">
        <v>8591</v>
      </c>
    </row>
    <row r="804" spans="1:107" s="73" customFormat="1" ht="12.75" customHeight="1" x14ac:dyDescent="0.2">
      <c r="A804" s="76"/>
      <c r="B804" s="81" t="s">
        <v>971</v>
      </c>
      <c r="C804" s="80">
        <v>0</v>
      </c>
      <c r="D804" s="80">
        <f>350000+150000</f>
        <v>500000</v>
      </c>
      <c r="E804" s="719">
        <v>475326.77</v>
      </c>
      <c r="F804" s="496"/>
      <c r="G804" s="126">
        <v>0</v>
      </c>
      <c r="H804" s="130">
        <f>E804/D804*100</f>
        <v>95.065353999999999</v>
      </c>
      <c r="I804" s="130">
        <v>0</v>
      </c>
      <c r="J804" s="6">
        <v>0</v>
      </c>
    </row>
    <row r="805" spans="1:107" s="73" customFormat="1" ht="12.75" customHeight="1" x14ac:dyDescent="0.2">
      <c r="A805" s="59"/>
      <c r="B805" s="74" t="s">
        <v>59</v>
      </c>
      <c r="C805" s="64">
        <f>SUM(C806:C810)</f>
        <v>800000</v>
      </c>
      <c r="D805" s="64">
        <f>SUM(D806:D810)</f>
        <v>800000</v>
      </c>
      <c r="E805" s="64">
        <f>SUM(E806:E810)</f>
        <v>544655.41</v>
      </c>
      <c r="F805" s="206">
        <f>SUM(E806:E810)</f>
        <v>544655.41</v>
      </c>
      <c r="G805" s="126">
        <f t="shared" si="207"/>
        <v>68.081926250000009</v>
      </c>
      <c r="H805" s="130">
        <f t="shared" si="208"/>
        <v>68.081926250000009</v>
      </c>
      <c r="I805" s="130">
        <f t="shared" si="210"/>
        <v>67.739476944995729</v>
      </c>
      <c r="J805" s="14">
        <v>804044.31</v>
      </c>
    </row>
    <row r="806" spans="1:107" s="73" customFormat="1" ht="12.75" customHeight="1" x14ac:dyDescent="0.2">
      <c r="A806" s="59"/>
      <c r="B806" s="72" t="s">
        <v>58</v>
      </c>
      <c r="C806" s="64">
        <v>100000</v>
      </c>
      <c r="D806" s="64">
        <v>100000</v>
      </c>
      <c r="E806" s="719">
        <v>41300</v>
      </c>
      <c r="F806" s="496"/>
      <c r="G806" s="126">
        <f t="shared" si="207"/>
        <v>41.3</v>
      </c>
      <c r="H806" s="130">
        <f t="shared" si="208"/>
        <v>41.3</v>
      </c>
      <c r="I806" s="130">
        <f t="shared" si="210"/>
        <v>25.854837296072319</v>
      </c>
      <c r="J806" s="6">
        <v>159738</v>
      </c>
    </row>
    <row r="807" spans="1:107" s="73" customFormat="1" ht="12.75" customHeight="1" x14ac:dyDescent="0.2">
      <c r="A807" s="59"/>
      <c r="B807" s="72" t="s">
        <v>57</v>
      </c>
      <c r="C807" s="64">
        <v>300000</v>
      </c>
      <c r="D807" s="64">
        <v>300000</v>
      </c>
      <c r="E807" s="719">
        <v>241552.45</v>
      </c>
      <c r="F807" s="496"/>
      <c r="G807" s="126">
        <f t="shared" si="207"/>
        <v>80.517483333333345</v>
      </c>
      <c r="H807" s="130">
        <f t="shared" si="208"/>
        <v>80.517483333333345</v>
      </c>
      <c r="I807" s="130">
        <f t="shared" si="210"/>
        <v>81.975569118651947</v>
      </c>
      <c r="J807" s="14">
        <v>294663.95</v>
      </c>
    </row>
    <row r="808" spans="1:107" s="73" customFormat="1" ht="12.75" customHeight="1" x14ac:dyDescent="0.2">
      <c r="A808" s="59"/>
      <c r="B808" s="72" t="s">
        <v>56</v>
      </c>
      <c r="C808" s="64">
        <v>100000</v>
      </c>
      <c r="D808" s="64">
        <v>100000</v>
      </c>
      <c r="E808" s="719">
        <v>0</v>
      </c>
      <c r="F808" s="496"/>
      <c r="G808" s="126">
        <f t="shared" si="207"/>
        <v>0</v>
      </c>
      <c r="H808" s="130">
        <f t="shared" si="208"/>
        <v>0</v>
      </c>
      <c r="I808" s="130">
        <v>0</v>
      </c>
      <c r="J808" s="6">
        <v>0</v>
      </c>
    </row>
    <row r="809" spans="1:107" customFormat="1" ht="12.75" customHeight="1" x14ac:dyDescent="0.2">
      <c r="A809" s="59"/>
      <c r="B809" s="72" t="s">
        <v>55</v>
      </c>
      <c r="C809" s="52">
        <v>0</v>
      </c>
      <c r="D809" s="52">
        <v>0</v>
      </c>
      <c r="E809" s="719">
        <v>0</v>
      </c>
      <c r="F809" s="496"/>
      <c r="G809" s="126">
        <v>0</v>
      </c>
      <c r="H809" s="130">
        <v>0</v>
      </c>
      <c r="I809" s="130">
        <v>0</v>
      </c>
      <c r="J809" s="14">
        <v>0</v>
      </c>
    </row>
    <row r="810" spans="1:107" customFormat="1" ht="12.75" customHeight="1" x14ac:dyDescent="0.2">
      <c r="A810" s="71"/>
      <c r="B810" s="72" t="s">
        <v>54</v>
      </c>
      <c r="C810" s="52">
        <v>300000</v>
      </c>
      <c r="D810" s="52">
        <v>300000</v>
      </c>
      <c r="E810" s="719">
        <v>261802.96</v>
      </c>
      <c r="F810" s="496"/>
      <c r="G810" s="126">
        <f t="shared" si="207"/>
        <v>87.267653333333328</v>
      </c>
      <c r="H810" s="130">
        <f t="shared" si="208"/>
        <v>87.267653333333328</v>
      </c>
      <c r="I810" s="130">
        <f t="shared" si="210"/>
        <v>74.877357537570674</v>
      </c>
      <c r="J810" s="6">
        <v>349642.36</v>
      </c>
    </row>
    <row r="811" spans="1:107" customFormat="1" ht="12.75" customHeight="1" x14ac:dyDescent="0.2">
      <c r="A811" s="71">
        <v>3634</v>
      </c>
      <c r="B811" s="58" t="s">
        <v>53</v>
      </c>
      <c r="C811" s="63">
        <f>SUM(C812:C816)</f>
        <v>28550000</v>
      </c>
      <c r="D811" s="63">
        <f>SUM(D812:D816)</f>
        <v>15100000</v>
      </c>
      <c r="E811" s="715">
        <v>13014802.380000001</v>
      </c>
      <c r="F811" s="206">
        <f>SUM(E812:E816)</f>
        <v>13014802.379999999</v>
      </c>
      <c r="G811" s="120">
        <f>E811/C811*100</f>
        <v>45.585997828371283</v>
      </c>
      <c r="H811" s="121">
        <f>E811/D811*100</f>
        <v>86.190744238410602</v>
      </c>
      <c r="I811" s="121">
        <f>E811/J811*100</f>
        <v>64.093056391549425</v>
      </c>
      <c r="J811" s="14">
        <v>20306103.52</v>
      </c>
    </row>
    <row r="812" spans="1:107" customFormat="1" ht="12.75" customHeight="1" x14ac:dyDescent="0.2">
      <c r="A812" s="59"/>
      <c r="B812" s="67" t="s">
        <v>52</v>
      </c>
      <c r="C812" s="10">
        <v>200000</v>
      </c>
      <c r="D812" s="10">
        <v>200000</v>
      </c>
      <c r="E812" s="206">
        <v>101489.83</v>
      </c>
      <c r="F812" s="496"/>
      <c r="G812" s="126">
        <f t="shared" si="207"/>
        <v>50.744914999999999</v>
      </c>
      <c r="H812" s="130">
        <f t="shared" si="208"/>
        <v>50.744914999999999</v>
      </c>
      <c r="I812" s="130">
        <f t="shared" si="210"/>
        <v>104.01307273005102</v>
      </c>
      <c r="J812" s="6">
        <v>97574.11</v>
      </c>
      <c r="K812" s="68"/>
      <c r="L812" s="68"/>
      <c r="M812" s="68"/>
      <c r="N812" s="68"/>
      <c r="O812" s="68"/>
      <c r="P812" s="68"/>
      <c r="Q812" s="68"/>
      <c r="R812" s="68"/>
      <c r="S812" s="68"/>
      <c r="T812" s="68"/>
      <c r="U812" s="68"/>
      <c r="V812" s="68"/>
      <c r="W812" s="68"/>
      <c r="X812" s="68"/>
      <c r="Y812" s="68"/>
      <c r="Z812" s="68"/>
      <c r="AA812" s="68"/>
      <c r="AB812" s="68"/>
      <c r="AC812" s="68"/>
      <c r="AD812" s="68"/>
      <c r="AE812" s="68"/>
      <c r="AF812" s="68"/>
      <c r="AG812" s="68"/>
      <c r="AH812" s="68"/>
      <c r="AI812" s="68"/>
      <c r="AJ812" s="68"/>
      <c r="AK812" s="68"/>
      <c r="AL812" s="68"/>
      <c r="AM812" s="68"/>
      <c r="AN812" s="68"/>
      <c r="AO812" s="68"/>
      <c r="AP812" s="68"/>
      <c r="AQ812" s="68"/>
      <c r="AR812" s="68"/>
      <c r="AS812" s="68"/>
      <c r="AT812" s="68"/>
      <c r="AU812" s="68"/>
      <c r="AV812" s="68"/>
      <c r="AW812" s="68"/>
      <c r="AX812" s="68"/>
      <c r="AY812" s="68"/>
      <c r="AZ812" s="68"/>
      <c r="BA812" s="68"/>
      <c r="BB812" s="68"/>
      <c r="BC812" s="68"/>
      <c r="BD812" s="68"/>
      <c r="BE812" s="68"/>
      <c r="BF812" s="68"/>
      <c r="BG812" s="68"/>
      <c r="BH812" s="68"/>
      <c r="BI812" s="68"/>
      <c r="BJ812" s="68"/>
      <c r="BK812" s="68"/>
      <c r="BL812" s="68"/>
      <c r="BM812" s="68"/>
      <c r="BN812" s="68"/>
      <c r="BO812" s="68"/>
      <c r="BP812" s="68"/>
      <c r="BQ812" s="68"/>
      <c r="BR812" s="68"/>
      <c r="BS812" s="68"/>
      <c r="BT812" s="68"/>
      <c r="BU812" s="68"/>
      <c r="BV812" s="68"/>
      <c r="BW812" s="68"/>
      <c r="BX812" s="68"/>
      <c r="BY812" s="68"/>
      <c r="BZ812" s="68"/>
      <c r="CA812" s="68"/>
      <c r="CB812" s="68"/>
      <c r="CC812" s="68"/>
      <c r="CD812" s="68"/>
      <c r="CE812" s="68"/>
      <c r="CF812" s="68"/>
      <c r="CG812" s="68"/>
      <c r="CH812" s="68"/>
      <c r="CI812" s="68"/>
      <c r="CJ812" s="68"/>
      <c r="CK812" s="68"/>
      <c r="CL812" s="68"/>
      <c r="CM812" s="68"/>
      <c r="CN812" s="68"/>
      <c r="CO812" s="68"/>
      <c r="CP812" s="68"/>
      <c r="CQ812" s="68"/>
      <c r="CR812" s="68"/>
      <c r="CS812" s="68"/>
      <c r="CT812" s="68"/>
      <c r="CU812" s="68"/>
      <c r="CV812" s="68"/>
      <c r="CW812" s="68"/>
      <c r="CX812" s="68"/>
      <c r="CY812" s="68"/>
      <c r="CZ812" s="68"/>
      <c r="DA812" s="68"/>
      <c r="DB812" s="68"/>
      <c r="DC812" s="68"/>
    </row>
    <row r="813" spans="1:107" customFormat="1" ht="12.75" customHeight="1" x14ac:dyDescent="0.2">
      <c r="A813" s="59"/>
      <c r="B813" s="67" t="s">
        <v>792</v>
      </c>
      <c r="C813" s="52">
        <v>500000</v>
      </c>
      <c r="D813" s="52">
        <v>500000</v>
      </c>
      <c r="E813" s="719">
        <v>512869.93</v>
      </c>
      <c r="F813" s="496"/>
      <c r="G813" s="126">
        <f t="shared" si="207"/>
        <v>102.573986</v>
      </c>
      <c r="H813" s="130">
        <f t="shared" si="208"/>
        <v>102.573986</v>
      </c>
      <c r="I813" s="130">
        <f t="shared" si="210"/>
        <v>110.17542485546066</v>
      </c>
      <c r="J813" s="14">
        <v>465503.02</v>
      </c>
      <c r="K813" s="68"/>
      <c r="L813" s="68"/>
      <c r="M813" s="68"/>
      <c r="N813" s="68"/>
      <c r="O813" s="68"/>
      <c r="P813" s="68"/>
      <c r="Q813" s="68"/>
      <c r="R813" s="68"/>
      <c r="S813" s="68"/>
      <c r="T813" s="68"/>
      <c r="U813" s="68"/>
      <c r="V813" s="68"/>
      <c r="W813" s="68"/>
      <c r="X813" s="68"/>
      <c r="Y813" s="68"/>
      <c r="Z813" s="68"/>
      <c r="AA813" s="68"/>
      <c r="AB813" s="68"/>
      <c r="AC813" s="68"/>
      <c r="AD813" s="68"/>
      <c r="AE813" s="68"/>
      <c r="AF813" s="68"/>
      <c r="AG813" s="68"/>
      <c r="AH813" s="68"/>
      <c r="AI813" s="68"/>
      <c r="AJ813" s="68"/>
      <c r="AK813" s="68"/>
      <c r="AL813" s="68"/>
      <c r="AM813" s="68"/>
      <c r="AN813" s="68"/>
      <c r="AO813" s="68"/>
      <c r="AP813" s="68"/>
      <c r="AQ813" s="68"/>
      <c r="AR813" s="68"/>
      <c r="AS813" s="68"/>
      <c r="AT813" s="68"/>
      <c r="AU813" s="68"/>
      <c r="AV813" s="68"/>
      <c r="AW813" s="68"/>
      <c r="AX813" s="68"/>
      <c r="AY813" s="68"/>
      <c r="AZ813" s="68"/>
      <c r="BA813" s="68"/>
      <c r="BB813" s="68"/>
      <c r="BC813" s="68"/>
      <c r="BD813" s="68"/>
      <c r="BE813" s="68"/>
      <c r="BF813" s="68"/>
      <c r="BG813" s="68"/>
      <c r="BH813" s="68"/>
      <c r="BI813" s="68"/>
      <c r="BJ813" s="68"/>
      <c r="BK813" s="68"/>
      <c r="BL813" s="68"/>
      <c r="BM813" s="68"/>
      <c r="BN813" s="68"/>
      <c r="BO813" s="68"/>
      <c r="BP813" s="68"/>
      <c r="BQ813" s="68"/>
      <c r="BR813" s="68"/>
      <c r="BS813" s="68"/>
      <c r="BT813" s="68"/>
      <c r="BU813" s="68"/>
      <c r="BV813" s="68"/>
      <c r="BW813" s="68"/>
      <c r="BX813" s="68"/>
      <c r="BY813" s="68"/>
      <c r="BZ813" s="68"/>
      <c r="CA813" s="68"/>
      <c r="CB813" s="68"/>
      <c r="CC813" s="68"/>
      <c r="CD813" s="68"/>
      <c r="CE813" s="68"/>
      <c r="CF813" s="68"/>
      <c r="CG813" s="68"/>
      <c r="CH813" s="68"/>
      <c r="CI813" s="68"/>
      <c r="CJ813" s="68"/>
      <c r="CK813" s="68"/>
      <c r="CL813" s="68"/>
      <c r="CM813" s="68"/>
      <c r="CN813" s="68"/>
      <c r="CO813" s="68"/>
      <c r="CP813" s="68"/>
      <c r="CQ813" s="68"/>
      <c r="CR813" s="68"/>
      <c r="CS813" s="68"/>
      <c r="CT813" s="68"/>
      <c r="CU813" s="68"/>
      <c r="CV813" s="68"/>
      <c r="CW813" s="68"/>
      <c r="CX813" s="68"/>
      <c r="CY813" s="68"/>
      <c r="CZ813" s="68"/>
      <c r="DA813" s="68"/>
      <c r="DB813" s="68"/>
      <c r="DC813" s="68"/>
    </row>
    <row r="814" spans="1:107" s="70" customFormat="1" ht="12.75" customHeight="1" x14ac:dyDescent="0.2">
      <c r="A814" s="59"/>
      <c r="B814" s="69" t="s">
        <v>51</v>
      </c>
      <c r="C814" s="64">
        <v>600000</v>
      </c>
      <c r="D814" s="64">
        <v>600000</v>
      </c>
      <c r="E814" s="719">
        <v>568310.48</v>
      </c>
      <c r="F814" s="496"/>
      <c r="G814" s="126">
        <f t="shared" si="207"/>
        <v>94.718413333333331</v>
      </c>
      <c r="H814" s="130">
        <f t="shared" si="208"/>
        <v>94.718413333333331</v>
      </c>
      <c r="I814" s="130">
        <f t="shared" si="210"/>
        <v>1262.9121777777777</v>
      </c>
      <c r="J814" s="6">
        <v>45000</v>
      </c>
      <c r="K814" s="68"/>
      <c r="L814" s="68"/>
      <c r="M814" s="68"/>
      <c r="N814" s="68"/>
      <c r="O814" s="68"/>
      <c r="P814" s="68"/>
      <c r="Q814" s="68"/>
      <c r="R814" s="68"/>
      <c r="S814" s="68"/>
      <c r="T814" s="68"/>
      <c r="U814" s="68"/>
      <c r="V814" s="68"/>
      <c r="W814" s="68"/>
      <c r="X814" s="68"/>
      <c r="Y814" s="68"/>
      <c r="Z814" s="68"/>
      <c r="AA814" s="68"/>
      <c r="AB814" s="68"/>
      <c r="AC814" s="68"/>
      <c r="AD814" s="68"/>
      <c r="AE814" s="68"/>
      <c r="AF814" s="68"/>
      <c r="AG814" s="68"/>
      <c r="AH814" s="68"/>
      <c r="AI814" s="68"/>
      <c r="AJ814" s="68"/>
      <c r="AK814" s="68"/>
      <c r="AL814" s="68"/>
      <c r="AM814" s="68"/>
      <c r="AN814" s="68"/>
      <c r="AO814" s="68"/>
      <c r="AP814" s="68"/>
      <c r="AQ814" s="68"/>
      <c r="AR814" s="68"/>
      <c r="AS814" s="68"/>
      <c r="AT814" s="68"/>
      <c r="AU814" s="68"/>
      <c r="AV814" s="68"/>
      <c r="AW814" s="68"/>
      <c r="AX814" s="68"/>
      <c r="AY814" s="68"/>
      <c r="AZ814" s="68"/>
      <c r="BA814" s="68"/>
      <c r="BB814" s="68"/>
      <c r="BC814" s="68"/>
      <c r="BD814" s="68"/>
      <c r="BE814" s="68"/>
      <c r="BF814" s="68"/>
      <c r="BG814" s="68"/>
      <c r="BH814" s="68"/>
      <c r="BI814" s="68"/>
      <c r="BJ814" s="68"/>
      <c r="BK814" s="68"/>
      <c r="BL814" s="68"/>
      <c r="BM814" s="68"/>
      <c r="BN814" s="68"/>
      <c r="BO814" s="68"/>
      <c r="BP814" s="68"/>
      <c r="BQ814" s="68"/>
      <c r="BR814" s="68"/>
      <c r="BS814" s="68"/>
      <c r="BT814" s="68"/>
      <c r="BU814" s="68"/>
      <c r="BV814" s="68"/>
      <c r="BW814" s="68"/>
      <c r="BX814" s="68"/>
      <c r="BY814" s="68"/>
      <c r="BZ814" s="68"/>
      <c r="CA814" s="68"/>
      <c r="CB814" s="68"/>
      <c r="CC814" s="68"/>
      <c r="CD814" s="68"/>
      <c r="CE814" s="68"/>
      <c r="CF814" s="68"/>
      <c r="CG814" s="68"/>
      <c r="CH814" s="68"/>
      <c r="CI814" s="68"/>
      <c r="CJ814" s="68"/>
      <c r="CK814" s="68"/>
      <c r="CL814" s="68"/>
      <c r="CM814" s="68"/>
      <c r="CN814" s="68"/>
      <c r="CO814" s="68"/>
      <c r="CP814" s="68"/>
      <c r="CQ814" s="68"/>
      <c r="CR814" s="68"/>
      <c r="CS814" s="68"/>
      <c r="CT814" s="68"/>
      <c r="CU814" s="68"/>
      <c r="CV814" s="68"/>
      <c r="CW814" s="68"/>
      <c r="CX814" s="68"/>
      <c r="CY814" s="68"/>
      <c r="CZ814" s="68"/>
      <c r="DA814" s="68"/>
      <c r="DB814" s="68"/>
      <c r="DC814" s="68"/>
    </row>
    <row r="815" spans="1:107" customFormat="1" ht="12.75" customHeight="1" x14ac:dyDescent="0.2">
      <c r="A815" s="59"/>
      <c r="B815" s="67" t="s">
        <v>50</v>
      </c>
      <c r="C815" s="52">
        <v>1000000</v>
      </c>
      <c r="D815" s="52">
        <v>1000000</v>
      </c>
      <c r="E815" s="719">
        <v>981312.37</v>
      </c>
      <c r="F815" s="496"/>
      <c r="G815" s="126">
        <f t="shared" si="207"/>
        <v>98.131236999999999</v>
      </c>
      <c r="H815" s="130">
        <f t="shared" si="208"/>
        <v>98.131236999999999</v>
      </c>
      <c r="I815" s="130">
        <v>0</v>
      </c>
      <c r="J815" s="14">
        <v>0</v>
      </c>
      <c r="K815" s="68"/>
      <c r="L815" s="68"/>
      <c r="M815" s="68"/>
      <c r="N815" s="68"/>
      <c r="O815" s="68"/>
      <c r="P815" s="68"/>
      <c r="Q815" s="68"/>
      <c r="R815" s="68"/>
      <c r="S815" s="68"/>
      <c r="T815" s="68"/>
      <c r="U815" s="68"/>
      <c r="V815" s="68"/>
      <c r="W815" s="68"/>
      <c r="X815" s="68"/>
      <c r="Y815" s="68"/>
      <c r="Z815" s="68"/>
      <c r="AA815" s="68"/>
      <c r="AB815" s="68"/>
      <c r="AC815" s="68"/>
      <c r="AD815" s="68"/>
      <c r="AE815" s="68"/>
      <c r="AF815" s="68"/>
      <c r="AG815" s="68"/>
      <c r="AH815" s="68"/>
      <c r="AI815" s="68"/>
      <c r="AJ815" s="68"/>
      <c r="AK815" s="68"/>
      <c r="AL815" s="68"/>
      <c r="AM815" s="68"/>
      <c r="AN815" s="68"/>
      <c r="AO815" s="68"/>
      <c r="AP815" s="68"/>
      <c r="AQ815" s="68"/>
      <c r="AR815" s="68"/>
      <c r="AS815" s="68"/>
      <c r="AT815" s="68"/>
      <c r="AU815" s="68"/>
      <c r="AV815" s="68"/>
      <c r="AW815" s="68"/>
      <c r="AX815" s="68"/>
      <c r="AY815" s="68"/>
      <c r="AZ815" s="68"/>
      <c r="BA815" s="68"/>
      <c r="BB815" s="68"/>
      <c r="BC815" s="68"/>
      <c r="BD815" s="68"/>
      <c r="BE815" s="68"/>
      <c r="BF815" s="68"/>
      <c r="BG815" s="68"/>
      <c r="BH815" s="68"/>
      <c r="BI815" s="68"/>
      <c r="BJ815" s="68"/>
      <c r="BK815" s="68"/>
      <c r="BL815" s="68"/>
      <c r="BM815" s="68"/>
      <c r="BN815" s="68"/>
      <c r="BO815" s="68"/>
      <c r="BP815" s="68"/>
      <c r="BQ815" s="68"/>
      <c r="BR815" s="68"/>
      <c r="BS815" s="68"/>
      <c r="BT815" s="68"/>
      <c r="BU815" s="68"/>
      <c r="BV815" s="68"/>
      <c r="BW815" s="68"/>
      <c r="BX815" s="68"/>
      <c r="BY815" s="68"/>
      <c r="BZ815" s="68"/>
      <c r="CA815" s="68"/>
      <c r="CB815" s="68"/>
      <c r="CC815" s="68"/>
      <c r="CD815" s="68"/>
      <c r="CE815" s="68"/>
      <c r="CF815" s="68"/>
      <c r="CG815" s="68"/>
      <c r="CH815" s="68"/>
      <c r="CI815" s="68"/>
      <c r="CJ815" s="68"/>
      <c r="CK815" s="68"/>
      <c r="CL815" s="68"/>
      <c r="CM815" s="68"/>
      <c r="CN815" s="68"/>
      <c r="CO815" s="68"/>
      <c r="CP815" s="68"/>
      <c r="CQ815" s="68"/>
      <c r="CR815" s="68"/>
      <c r="CS815" s="68"/>
      <c r="CT815" s="68"/>
      <c r="CU815" s="68"/>
      <c r="CV815" s="68"/>
      <c r="CW815" s="68"/>
      <c r="CX815" s="68"/>
      <c r="CY815" s="68"/>
      <c r="CZ815" s="68"/>
      <c r="DA815" s="68"/>
      <c r="DB815" s="68"/>
      <c r="DC815" s="68"/>
    </row>
    <row r="816" spans="1:107" customFormat="1" ht="12.75" customHeight="1" x14ac:dyDescent="0.2">
      <c r="A816" s="54"/>
      <c r="B816" s="69" t="s">
        <v>49</v>
      </c>
      <c r="C816" s="52">
        <f>SUM(C817:C826)</f>
        <v>26250000</v>
      </c>
      <c r="D816" s="52">
        <f>SUM(D817:D826)</f>
        <v>12800000</v>
      </c>
      <c r="E816" s="719">
        <v>10850819.77</v>
      </c>
      <c r="F816" s="206">
        <f>SUM(E817:E826)</f>
        <v>10850819.77</v>
      </c>
      <c r="G816" s="126">
        <f t="shared" si="207"/>
        <v>41.336456266666666</v>
      </c>
      <c r="H816" s="130">
        <f t="shared" si="208"/>
        <v>84.772029453125</v>
      </c>
      <c r="I816" s="130">
        <f t="shared" si="210"/>
        <v>55.085822077629977</v>
      </c>
      <c r="J816" s="6">
        <v>19698026.390000001</v>
      </c>
      <c r="K816" s="68"/>
      <c r="L816" s="68"/>
      <c r="M816" s="68"/>
      <c r="N816" s="68"/>
      <c r="O816" s="68"/>
      <c r="P816" s="68"/>
      <c r="Q816" s="68"/>
      <c r="R816" s="68"/>
      <c r="S816" s="68"/>
      <c r="T816" s="68"/>
      <c r="U816" s="68"/>
      <c r="V816" s="68"/>
      <c r="W816" s="68"/>
      <c r="X816" s="68"/>
      <c r="Y816" s="68"/>
      <c r="Z816" s="68"/>
      <c r="AA816" s="68"/>
      <c r="AB816" s="68"/>
      <c r="AC816" s="68"/>
      <c r="AD816" s="68"/>
      <c r="AE816" s="68"/>
      <c r="AF816" s="68"/>
      <c r="AG816" s="68"/>
      <c r="AH816" s="68"/>
      <c r="AI816" s="68"/>
      <c r="AJ816" s="68"/>
      <c r="AK816" s="68"/>
      <c r="AL816" s="68"/>
      <c r="AM816" s="68"/>
      <c r="AN816" s="68"/>
      <c r="AO816" s="68"/>
      <c r="AP816" s="68"/>
      <c r="AQ816" s="68"/>
      <c r="AR816" s="68"/>
      <c r="AS816" s="68"/>
      <c r="AT816" s="68"/>
      <c r="AU816" s="68"/>
      <c r="AV816" s="68"/>
      <c r="AW816" s="68"/>
      <c r="AX816" s="68"/>
      <c r="AY816" s="68"/>
      <c r="AZ816" s="68"/>
      <c r="BA816" s="68"/>
      <c r="BB816" s="68"/>
      <c r="BC816" s="68"/>
      <c r="BD816" s="68"/>
      <c r="BE816" s="68"/>
      <c r="BF816" s="68"/>
      <c r="BG816" s="68"/>
      <c r="BH816" s="68"/>
      <c r="BI816" s="68"/>
      <c r="BJ816" s="68"/>
      <c r="BK816" s="68"/>
      <c r="BL816" s="68"/>
      <c r="BM816" s="68"/>
      <c r="BN816" s="68"/>
      <c r="BO816" s="68"/>
      <c r="BP816" s="68"/>
      <c r="BQ816" s="68"/>
      <c r="BR816" s="68"/>
      <c r="BS816" s="68"/>
      <c r="BT816" s="68"/>
      <c r="BU816" s="68"/>
      <c r="BV816" s="68"/>
      <c r="BW816" s="68"/>
      <c r="BX816" s="68"/>
      <c r="BY816" s="68"/>
      <c r="BZ816" s="68"/>
      <c r="CA816" s="68"/>
      <c r="CB816" s="68"/>
      <c r="CC816" s="68"/>
      <c r="CD816" s="68"/>
      <c r="CE816" s="68"/>
      <c r="CF816" s="68"/>
      <c r="CG816" s="68"/>
      <c r="CH816" s="68"/>
      <c r="CI816" s="68"/>
      <c r="CJ816" s="68"/>
      <c r="CK816" s="68"/>
      <c r="CL816" s="68"/>
      <c r="CM816" s="68"/>
      <c r="CN816" s="68"/>
      <c r="CO816" s="68"/>
      <c r="CP816" s="68"/>
      <c r="CQ816" s="68"/>
      <c r="CR816" s="68"/>
      <c r="CS816" s="68"/>
      <c r="CT816" s="68"/>
      <c r="CU816" s="68"/>
      <c r="CV816" s="68"/>
      <c r="CW816" s="68"/>
      <c r="CX816" s="68"/>
      <c r="CY816" s="68"/>
      <c r="CZ816" s="68"/>
      <c r="DA816" s="68"/>
      <c r="DB816" s="68"/>
      <c r="DC816" s="68"/>
    </row>
    <row r="817" spans="1:10" customFormat="1" ht="12.75" customHeight="1" x14ac:dyDescent="0.2">
      <c r="A817" s="54"/>
      <c r="B817" s="67" t="s">
        <v>48</v>
      </c>
      <c r="C817" s="10">
        <v>900000</v>
      </c>
      <c r="D817" s="10">
        <v>900000</v>
      </c>
      <c r="E817" s="719">
        <v>787347</v>
      </c>
      <c r="F817" s="496"/>
      <c r="G817" s="126">
        <f t="shared" si="207"/>
        <v>87.483000000000004</v>
      </c>
      <c r="H817" s="130">
        <f t="shared" si="208"/>
        <v>87.483000000000004</v>
      </c>
      <c r="I817" s="130">
        <f t="shared" si="210"/>
        <v>347.24673329483699</v>
      </c>
      <c r="J817" s="6">
        <v>226739.93</v>
      </c>
    </row>
    <row r="818" spans="1:10" s="2" customFormat="1" ht="12.75" customHeight="1" x14ac:dyDescent="0.2">
      <c r="A818" s="54"/>
      <c r="B818" s="66" t="s">
        <v>47</v>
      </c>
      <c r="C818" s="64">
        <v>200000</v>
      </c>
      <c r="D818" s="64">
        <v>200000</v>
      </c>
      <c r="E818" s="753">
        <v>113256</v>
      </c>
      <c r="F818" s="496"/>
      <c r="G818" s="126">
        <f t="shared" si="207"/>
        <v>56.628</v>
      </c>
      <c r="H818" s="130">
        <f t="shared" si="208"/>
        <v>56.628</v>
      </c>
      <c r="I818" s="130">
        <v>0</v>
      </c>
      <c r="J818" s="14">
        <v>0</v>
      </c>
    </row>
    <row r="819" spans="1:10" s="2" customFormat="1" ht="12.75" customHeight="1" x14ac:dyDescent="0.2">
      <c r="A819" s="54"/>
      <c r="B819" s="65" t="s">
        <v>46</v>
      </c>
      <c r="C819" s="64">
        <v>4750000</v>
      </c>
      <c r="D819" s="64">
        <f>1450000+1482000.8</f>
        <v>2932000.8</v>
      </c>
      <c r="E819" s="719">
        <v>2662176</v>
      </c>
      <c r="F819" s="496"/>
      <c r="G819" s="126">
        <f t="shared" si="207"/>
        <v>56.04581052631579</v>
      </c>
      <c r="H819" s="130">
        <f t="shared" si="208"/>
        <v>90.797246712893127</v>
      </c>
      <c r="I819" s="130">
        <v>0</v>
      </c>
      <c r="J819" s="6">
        <v>0</v>
      </c>
    </row>
    <row r="820" spans="1:10" s="2" customFormat="1" ht="12.75" customHeight="1" x14ac:dyDescent="0.2">
      <c r="A820" s="54"/>
      <c r="B820" s="65" t="s">
        <v>45</v>
      </c>
      <c r="C820" s="52">
        <v>3300000</v>
      </c>
      <c r="D820" s="52">
        <f>3300000-3300000</f>
        <v>0</v>
      </c>
      <c r="E820" s="753">
        <v>0</v>
      </c>
      <c r="F820" s="496"/>
      <c r="G820" s="126">
        <f t="shared" si="207"/>
        <v>0</v>
      </c>
      <c r="H820" s="130">
        <v>0</v>
      </c>
      <c r="I820" s="130">
        <v>0</v>
      </c>
      <c r="J820" s="14">
        <v>0</v>
      </c>
    </row>
    <row r="821" spans="1:10" s="2" customFormat="1" ht="12.75" customHeight="1" x14ac:dyDescent="0.2">
      <c r="A821" s="54"/>
      <c r="B821" s="65" t="s">
        <v>924</v>
      </c>
      <c r="C821" s="64">
        <v>3750000</v>
      </c>
      <c r="D821" s="64">
        <f>3750000-1482000.8</f>
        <v>2267999.2000000002</v>
      </c>
      <c r="E821" s="719">
        <v>2267999.2000000002</v>
      </c>
      <c r="F821" s="496"/>
      <c r="G821" s="126">
        <f t="shared" si="207"/>
        <v>60.479978666666668</v>
      </c>
      <c r="H821" s="130">
        <f t="shared" si="208"/>
        <v>100</v>
      </c>
      <c r="I821" s="130">
        <v>0</v>
      </c>
      <c r="J821" s="6">
        <v>0</v>
      </c>
    </row>
    <row r="822" spans="1:10" s="2" customFormat="1" ht="12.75" customHeight="1" x14ac:dyDescent="0.2">
      <c r="A822" s="54"/>
      <c r="B822" s="65" t="s">
        <v>44</v>
      </c>
      <c r="C822" s="64">
        <v>2050000</v>
      </c>
      <c r="D822" s="64">
        <f>2050000-1000000</f>
        <v>1050000</v>
      </c>
      <c r="E822" s="719">
        <v>975425.8</v>
      </c>
      <c r="F822" s="496"/>
      <c r="G822" s="126">
        <f t="shared" si="207"/>
        <v>47.581746341463415</v>
      </c>
      <c r="H822" s="130">
        <f t="shared" si="208"/>
        <v>92.897695238095253</v>
      </c>
      <c r="I822" s="130">
        <v>0</v>
      </c>
      <c r="J822" s="14">
        <v>0</v>
      </c>
    </row>
    <row r="823" spans="1:10" s="2" customFormat="1" ht="12.75" customHeight="1" x14ac:dyDescent="0.2">
      <c r="A823" s="54"/>
      <c r="B823" s="65" t="s">
        <v>43</v>
      </c>
      <c r="C823" s="52">
        <v>2000000</v>
      </c>
      <c r="D823" s="52">
        <f>2000000-2000000</f>
        <v>0</v>
      </c>
      <c r="E823" s="719">
        <v>0</v>
      </c>
      <c r="F823" s="496"/>
      <c r="G823" s="126">
        <f t="shared" si="207"/>
        <v>0</v>
      </c>
      <c r="H823" s="130">
        <v>0</v>
      </c>
      <c r="I823" s="130">
        <v>0</v>
      </c>
      <c r="J823" s="6">
        <v>0</v>
      </c>
    </row>
    <row r="824" spans="1:10" s="2" customFormat="1" ht="12.75" customHeight="1" x14ac:dyDescent="0.2">
      <c r="A824" s="54"/>
      <c r="B824" s="65" t="s">
        <v>42</v>
      </c>
      <c r="C824" s="52">
        <v>6000000</v>
      </c>
      <c r="D824" s="52">
        <f>6000000-2000000</f>
        <v>4000000</v>
      </c>
      <c r="E824" s="719">
        <v>2790468.19</v>
      </c>
      <c r="F824" s="496"/>
      <c r="G824" s="126">
        <f t="shared" si="207"/>
        <v>46.507803166666669</v>
      </c>
      <c r="H824" s="130">
        <f t="shared" si="208"/>
        <v>69.761704749999993</v>
      </c>
      <c r="I824" s="130">
        <v>0</v>
      </c>
      <c r="J824" s="14">
        <v>0</v>
      </c>
    </row>
    <row r="825" spans="1:10" s="2" customFormat="1" ht="12.75" customHeight="1" x14ac:dyDescent="0.2">
      <c r="A825" s="54"/>
      <c r="B825" s="65" t="s">
        <v>793</v>
      </c>
      <c r="C825" s="52">
        <v>2000000</v>
      </c>
      <c r="D825" s="52">
        <f>2000000-1250000</f>
        <v>750000</v>
      </c>
      <c r="E825" s="719">
        <v>715745.58</v>
      </c>
      <c r="F825" s="496"/>
      <c r="G825" s="126">
        <f t="shared" si="207"/>
        <v>35.787278999999998</v>
      </c>
      <c r="H825" s="130">
        <f t="shared" si="208"/>
        <v>95.432743999999985</v>
      </c>
      <c r="I825" s="130">
        <v>0</v>
      </c>
      <c r="J825" s="6">
        <v>0</v>
      </c>
    </row>
    <row r="826" spans="1:10" s="2" customFormat="1" ht="12.75" customHeight="1" x14ac:dyDescent="0.2">
      <c r="A826" s="54"/>
      <c r="B826" s="65" t="s">
        <v>41</v>
      </c>
      <c r="C826" s="64">
        <v>1300000</v>
      </c>
      <c r="D826" s="64">
        <f>1300000-600000</f>
        <v>700000</v>
      </c>
      <c r="E826" s="719">
        <v>538402</v>
      </c>
      <c r="F826" s="496"/>
      <c r="G826" s="126">
        <f t="shared" si="207"/>
        <v>41.415538461538461</v>
      </c>
      <c r="H826" s="130">
        <f t="shared" si="208"/>
        <v>76.914571428571435</v>
      </c>
      <c r="I826" s="130">
        <v>0</v>
      </c>
      <c r="J826" s="14">
        <v>0</v>
      </c>
    </row>
    <row r="827" spans="1:10" s="2" customFormat="1" ht="12.75" customHeight="1" x14ac:dyDescent="0.2">
      <c r="A827" s="59">
        <v>4351</v>
      </c>
      <c r="B827" s="58" t="s">
        <v>40</v>
      </c>
      <c r="C827" s="24">
        <v>10000</v>
      </c>
      <c r="D827" s="24">
        <v>10000</v>
      </c>
      <c r="E827" s="715">
        <v>5001.2299999999996</v>
      </c>
      <c r="F827" s="496"/>
      <c r="G827" s="120">
        <f t="shared" ref="G827:G845" si="211">E827/C827*100</f>
        <v>50.012299999999996</v>
      </c>
      <c r="H827" s="121">
        <f t="shared" si="208"/>
        <v>50.012299999999996</v>
      </c>
      <c r="I827" s="121">
        <f t="shared" si="210"/>
        <v>60.852726383389822</v>
      </c>
      <c r="J827" s="6">
        <v>8218.58</v>
      </c>
    </row>
    <row r="828" spans="1:10" s="2" customFormat="1" ht="12.75" customHeight="1" x14ac:dyDescent="0.2">
      <c r="A828" s="59">
        <v>4374</v>
      </c>
      <c r="B828" s="58" t="s">
        <v>39</v>
      </c>
      <c r="C828" s="63">
        <f>C829</f>
        <v>850000</v>
      </c>
      <c r="D828" s="63">
        <f>D829</f>
        <v>850000</v>
      </c>
      <c r="E828" s="715">
        <v>172185.71</v>
      </c>
      <c r="F828" s="206"/>
      <c r="G828" s="120">
        <f t="shared" si="211"/>
        <v>20.257142352941177</v>
      </c>
      <c r="H828" s="121">
        <f t="shared" si="208"/>
        <v>20.257142352941177</v>
      </c>
      <c r="I828" s="121">
        <f t="shared" si="210"/>
        <v>19.607601789805621</v>
      </c>
      <c r="J828" s="14">
        <v>878157.93</v>
      </c>
    </row>
    <row r="829" spans="1:10" customFormat="1" ht="12.75" customHeight="1" x14ac:dyDescent="0.2">
      <c r="A829" s="54"/>
      <c r="B829" s="62" t="s">
        <v>38</v>
      </c>
      <c r="C829" s="52">
        <f>SUM(C830,C831)</f>
        <v>850000</v>
      </c>
      <c r="D829" s="52">
        <f>SUM(D830,D831)</f>
        <v>850000</v>
      </c>
      <c r="E829" s="719">
        <v>172185.71</v>
      </c>
      <c r="F829" s="206">
        <f>SUM(E830:E831)</f>
        <v>172185.71</v>
      </c>
      <c r="G829" s="126">
        <f t="shared" si="211"/>
        <v>20.257142352941177</v>
      </c>
      <c r="H829" s="130">
        <f t="shared" si="208"/>
        <v>20.257142352941177</v>
      </c>
      <c r="I829" s="130">
        <f t="shared" si="210"/>
        <v>19.607601789805621</v>
      </c>
      <c r="J829" s="6">
        <v>878157.93</v>
      </c>
    </row>
    <row r="830" spans="1:10" customFormat="1" ht="12.75" customHeight="1" x14ac:dyDescent="0.2">
      <c r="A830" s="55"/>
      <c r="B830" s="61" t="s">
        <v>37</v>
      </c>
      <c r="C830" s="10">
        <v>600000</v>
      </c>
      <c r="D830" s="10">
        <v>600000</v>
      </c>
      <c r="E830" s="719">
        <v>108812.56</v>
      </c>
      <c r="F830" s="496"/>
      <c r="G830" s="126">
        <f t="shared" si="211"/>
        <v>18.135426666666664</v>
      </c>
      <c r="H830" s="130">
        <f t="shared" si="208"/>
        <v>18.135426666666664</v>
      </c>
      <c r="I830" s="130">
        <f t="shared" si="210"/>
        <v>12.513098137548337</v>
      </c>
      <c r="J830" s="14">
        <v>869589.28</v>
      </c>
    </row>
    <row r="831" spans="1:10" customFormat="1" ht="12.75" customHeight="1" x14ac:dyDescent="0.2">
      <c r="A831" s="55"/>
      <c r="B831" s="60" t="s">
        <v>36</v>
      </c>
      <c r="C831" s="10">
        <v>250000</v>
      </c>
      <c r="D831" s="10">
        <v>250000</v>
      </c>
      <c r="E831" s="719">
        <v>63373.15</v>
      </c>
      <c r="F831" s="496"/>
      <c r="G831" s="126">
        <f t="shared" si="211"/>
        <v>25.349260000000001</v>
      </c>
      <c r="H831" s="130">
        <f t="shared" ref="H831:H845" si="212">E831/D831*100</f>
        <v>25.349260000000001</v>
      </c>
      <c r="I831" s="130">
        <f t="shared" si="210"/>
        <v>739.59316811866518</v>
      </c>
      <c r="J831" s="6">
        <v>8568.65</v>
      </c>
    </row>
    <row r="832" spans="1:10" customFormat="1" ht="12.75" customHeight="1" x14ac:dyDescent="0.2">
      <c r="A832" s="59">
        <v>6171</v>
      </c>
      <c r="B832" s="58" t="s">
        <v>35</v>
      </c>
      <c r="C832" s="57">
        <f>SUM(C833:C836)</f>
        <v>2550000</v>
      </c>
      <c r="D832" s="57">
        <f>SUM(D833:D836)</f>
        <v>2100000</v>
      </c>
      <c r="E832" s="715">
        <v>1578069.1</v>
      </c>
      <c r="F832" s="206">
        <f>SUM(E833:E836)</f>
        <v>1578069.1</v>
      </c>
      <c r="G832" s="120">
        <f t="shared" si="211"/>
        <v>61.88506274509804</v>
      </c>
      <c r="H832" s="121">
        <f t="shared" si="212"/>
        <v>75.146147619047625</v>
      </c>
      <c r="I832" s="121">
        <f t="shared" si="210"/>
        <v>248.62570987960964</v>
      </c>
      <c r="J832" s="14">
        <v>634716.78</v>
      </c>
    </row>
    <row r="833" spans="1:246" customFormat="1" ht="12.75" customHeight="1" x14ac:dyDescent="0.2">
      <c r="A833" s="54"/>
      <c r="B833" s="56" t="s">
        <v>34</v>
      </c>
      <c r="C833" s="10">
        <v>50000</v>
      </c>
      <c r="D833" s="10">
        <v>50000</v>
      </c>
      <c r="E833" s="206">
        <v>0</v>
      </c>
      <c r="F833" s="496"/>
      <c r="G833" s="126">
        <f t="shared" si="211"/>
        <v>0</v>
      </c>
      <c r="H833" s="130">
        <f t="shared" si="212"/>
        <v>0</v>
      </c>
      <c r="I833" s="130">
        <f t="shared" si="210"/>
        <v>0</v>
      </c>
      <c r="J833" s="6">
        <v>171198.47</v>
      </c>
    </row>
    <row r="834" spans="1:246" customFormat="1" ht="12.75" customHeight="1" x14ac:dyDescent="0.2">
      <c r="A834" s="55"/>
      <c r="B834" s="53" t="s">
        <v>33</v>
      </c>
      <c r="C834" s="10">
        <v>2000000</v>
      </c>
      <c r="D834" s="10">
        <f>2000000-1450000+1000000</f>
        <v>1550000</v>
      </c>
      <c r="E834" s="719">
        <v>1408379.1</v>
      </c>
      <c r="F834" s="496"/>
      <c r="G834" s="126">
        <f t="shared" si="211"/>
        <v>70.418955000000011</v>
      </c>
      <c r="H834" s="130">
        <f t="shared" si="212"/>
        <v>90.863167741935484</v>
      </c>
      <c r="I834" s="130">
        <v>0</v>
      </c>
      <c r="J834" s="6">
        <v>0</v>
      </c>
    </row>
    <row r="835" spans="1:246" customFormat="1" ht="12.75" customHeight="1" x14ac:dyDescent="0.2">
      <c r="A835" s="54"/>
      <c r="B835" s="53" t="s">
        <v>32</v>
      </c>
      <c r="C835" s="10">
        <v>300000</v>
      </c>
      <c r="D835" s="10">
        <v>300000</v>
      </c>
      <c r="E835" s="719">
        <v>148317</v>
      </c>
      <c r="F835" s="496"/>
      <c r="G835" s="126">
        <f t="shared" si="211"/>
        <v>49.439</v>
      </c>
      <c r="H835" s="130">
        <f t="shared" si="212"/>
        <v>49.439</v>
      </c>
      <c r="I835" s="130">
        <v>0</v>
      </c>
      <c r="J835" s="14">
        <v>0</v>
      </c>
    </row>
    <row r="836" spans="1:246" customFormat="1" ht="12.75" customHeight="1" x14ac:dyDescent="0.2">
      <c r="A836" s="54"/>
      <c r="B836" s="69" t="s">
        <v>31</v>
      </c>
      <c r="C836" s="10">
        <v>200000</v>
      </c>
      <c r="D836" s="10">
        <v>200000</v>
      </c>
      <c r="E836" s="719">
        <v>21373</v>
      </c>
      <c r="F836" s="496"/>
      <c r="G836" s="126">
        <f t="shared" si="211"/>
        <v>10.686500000000001</v>
      </c>
      <c r="H836" s="130">
        <f t="shared" si="212"/>
        <v>10.686500000000001</v>
      </c>
      <c r="I836" s="130">
        <f t="shared" si="210"/>
        <v>4.6110368326118554</v>
      </c>
      <c r="J836" s="6">
        <v>463518.31</v>
      </c>
    </row>
    <row r="837" spans="1:246" customFormat="1" ht="12.75" customHeight="1" thickBot="1" x14ac:dyDescent="0.25">
      <c r="A837" s="51"/>
      <c r="B837" s="666"/>
      <c r="C837" s="50"/>
      <c r="D837" s="50"/>
      <c r="E837" s="667"/>
      <c r="F837" s="668"/>
      <c r="G837" s="151"/>
      <c r="H837" s="151"/>
      <c r="I837" s="151"/>
      <c r="J837" s="6"/>
    </row>
    <row r="838" spans="1:246" s="3" customFormat="1" ht="21" thickBot="1" x14ac:dyDescent="0.35">
      <c r="A838" s="44"/>
      <c r="B838" s="49" t="s">
        <v>30</v>
      </c>
      <c r="C838" s="47">
        <f>SUM(C839+C843+C846)</f>
        <v>600000</v>
      </c>
      <c r="D838" s="47">
        <f>SUM(D839+D843+D846)</f>
        <v>550000</v>
      </c>
      <c r="E838" s="181">
        <v>102730</v>
      </c>
      <c r="F838" s="317">
        <f>SUM(E839,E843)</f>
        <v>102730</v>
      </c>
      <c r="G838" s="571">
        <f>E838/C838*100</f>
        <v>17.121666666666666</v>
      </c>
      <c r="H838" s="181">
        <f t="shared" ref="H838" si="213">E838/D838*100</f>
        <v>18.67818181818182</v>
      </c>
      <c r="I838" s="181">
        <f t="shared" si="210"/>
        <v>27.527264398182133</v>
      </c>
      <c r="J838" s="14">
        <v>373193.64</v>
      </c>
      <c r="K838" s="41"/>
      <c r="L838" s="41"/>
      <c r="M838" s="41"/>
      <c r="N838" s="41"/>
      <c r="O838" s="41"/>
      <c r="P838" s="41"/>
      <c r="Q838" s="41"/>
      <c r="R838" s="41"/>
      <c r="S838" s="41"/>
      <c r="T838" s="41"/>
      <c r="U838" s="41"/>
      <c r="V838" s="41"/>
      <c r="W838" s="41"/>
      <c r="X838" s="41"/>
      <c r="Y838" s="41"/>
      <c r="Z838" s="41"/>
      <c r="AA838" s="41"/>
      <c r="AB838" s="41"/>
      <c r="AC838" s="41"/>
      <c r="AD838" s="41"/>
      <c r="AE838" s="41"/>
      <c r="AF838" s="41"/>
      <c r="AG838" s="41"/>
      <c r="AH838" s="41"/>
      <c r="AI838" s="41"/>
      <c r="AJ838" s="41"/>
      <c r="AK838" s="41"/>
      <c r="AL838" s="41"/>
      <c r="AM838" s="41"/>
      <c r="AN838" s="41"/>
      <c r="AO838" s="41"/>
      <c r="AP838" s="41"/>
      <c r="AQ838" s="41"/>
      <c r="AR838" s="41"/>
      <c r="AS838" s="41"/>
      <c r="AT838" s="41"/>
      <c r="AU838" s="41"/>
      <c r="AV838" s="41"/>
      <c r="AW838" s="41"/>
      <c r="AX838" s="41"/>
      <c r="AY838" s="41"/>
      <c r="AZ838" s="41"/>
      <c r="BA838" s="41"/>
      <c r="BB838" s="41"/>
      <c r="BC838" s="41"/>
      <c r="BD838" s="41"/>
      <c r="BE838" s="41"/>
      <c r="BF838" s="41"/>
      <c r="BG838" s="41"/>
      <c r="BH838" s="41"/>
      <c r="BI838" s="41"/>
      <c r="BJ838" s="41"/>
      <c r="BK838" s="41"/>
      <c r="BL838" s="41"/>
      <c r="BM838" s="41"/>
      <c r="BN838" s="41"/>
      <c r="BO838" s="41"/>
      <c r="BP838" s="41"/>
      <c r="BQ838" s="41"/>
      <c r="BR838" s="41"/>
      <c r="BS838" s="41"/>
      <c r="BT838" s="41"/>
      <c r="BU838" s="41"/>
      <c r="BV838" s="41"/>
      <c r="BW838" s="41"/>
      <c r="BX838" s="41"/>
      <c r="BY838" s="41"/>
      <c r="BZ838" s="41"/>
      <c r="CA838" s="41"/>
      <c r="CB838" s="41"/>
      <c r="CC838" s="41"/>
      <c r="CD838" s="41"/>
      <c r="CE838" s="41"/>
      <c r="CF838" s="41"/>
      <c r="CG838" s="41"/>
      <c r="CH838" s="41"/>
      <c r="CI838" s="41"/>
      <c r="CJ838" s="41"/>
      <c r="CK838" s="41"/>
      <c r="CL838" s="41"/>
      <c r="CM838" s="41"/>
      <c r="CN838" s="41"/>
      <c r="CO838" s="41"/>
      <c r="CP838" s="41"/>
      <c r="CQ838" s="41"/>
      <c r="CR838" s="41"/>
      <c r="CS838" s="41"/>
      <c r="CT838" s="41"/>
      <c r="CU838" s="41"/>
      <c r="CV838" s="41"/>
      <c r="CW838" s="41"/>
      <c r="CX838" s="41"/>
      <c r="CY838" s="41"/>
      <c r="CZ838" s="41"/>
      <c r="DA838" s="41"/>
      <c r="DB838" s="41"/>
      <c r="DC838" s="41"/>
      <c r="DD838" s="41"/>
      <c r="DE838" s="41"/>
      <c r="DF838" s="41"/>
      <c r="DG838" s="41"/>
      <c r="DH838" s="41"/>
      <c r="DI838" s="41"/>
      <c r="DJ838" s="41"/>
      <c r="DK838" s="41"/>
      <c r="DL838" s="41"/>
      <c r="DM838" s="41"/>
      <c r="DN838" s="41"/>
      <c r="DO838" s="41"/>
      <c r="DP838" s="41"/>
      <c r="DQ838" s="41"/>
      <c r="DR838" s="41"/>
      <c r="DS838" s="41"/>
      <c r="DT838" s="41"/>
      <c r="DU838" s="41"/>
      <c r="DV838" s="41"/>
      <c r="DW838" s="41"/>
      <c r="DX838" s="41"/>
      <c r="DY838" s="41"/>
      <c r="DZ838" s="41"/>
      <c r="EA838" s="41"/>
      <c r="EB838" s="41"/>
      <c r="EC838" s="41"/>
      <c r="ED838" s="41"/>
      <c r="EE838" s="41"/>
      <c r="EF838" s="41"/>
      <c r="EG838" s="41"/>
      <c r="EH838" s="41"/>
      <c r="EI838" s="41"/>
      <c r="EJ838" s="41"/>
      <c r="EK838" s="41"/>
      <c r="EL838" s="41"/>
      <c r="EM838" s="41"/>
      <c r="EN838" s="41"/>
      <c r="EO838" s="41"/>
      <c r="EP838" s="41"/>
      <c r="EQ838" s="41"/>
      <c r="ER838" s="41"/>
      <c r="ES838" s="41"/>
      <c r="ET838" s="41"/>
      <c r="EU838" s="41"/>
      <c r="EV838" s="41"/>
      <c r="EW838" s="41"/>
      <c r="EX838" s="41"/>
      <c r="EY838" s="41"/>
      <c r="EZ838" s="41"/>
      <c r="FA838" s="41"/>
      <c r="FB838" s="41"/>
      <c r="FC838" s="41"/>
      <c r="FD838" s="41"/>
      <c r="FE838" s="41"/>
      <c r="FF838" s="41"/>
      <c r="FG838" s="41"/>
      <c r="FH838" s="41"/>
      <c r="FI838" s="41"/>
      <c r="FJ838" s="41"/>
      <c r="FK838" s="41"/>
      <c r="FL838" s="41"/>
      <c r="FM838" s="41"/>
      <c r="FN838" s="41"/>
      <c r="FO838" s="41"/>
      <c r="FP838" s="41"/>
      <c r="FQ838" s="41"/>
      <c r="FR838" s="41"/>
      <c r="FS838" s="41"/>
      <c r="FT838" s="41"/>
      <c r="FU838" s="41"/>
      <c r="FV838" s="41"/>
      <c r="FW838" s="41"/>
      <c r="FX838" s="41"/>
      <c r="FY838" s="41"/>
      <c r="FZ838" s="41"/>
      <c r="GA838" s="41"/>
      <c r="GB838" s="41"/>
      <c r="GC838" s="41"/>
      <c r="GD838" s="41"/>
      <c r="GE838" s="41"/>
      <c r="GF838" s="41"/>
      <c r="GG838" s="41"/>
      <c r="GH838" s="41"/>
      <c r="GI838" s="41"/>
      <c r="GJ838" s="41"/>
      <c r="GK838" s="41"/>
      <c r="GL838" s="41"/>
      <c r="GM838" s="41"/>
      <c r="GN838" s="41"/>
      <c r="GO838" s="41"/>
      <c r="GP838" s="41"/>
      <c r="GQ838" s="41"/>
      <c r="GR838" s="41"/>
      <c r="GS838" s="41"/>
      <c r="GT838" s="41"/>
      <c r="GU838" s="41"/>
      <c r="GV838" s="41"/>
      <c r="GW838" s="41"/>
      <c r="GX838" s="41"/>
      <c r="GY838" s="41"/>
      <c r="GZ838" s="41"/>
      <c r="HA838" s="41"/>
      <c r="HB838" s="41"/>
      <c r="HC838" s="41"/>
      <c r="HD838" s="41"/>
      <c r="HE838" s="41"/>
      <c r="HF838" s="41"/>
      <c r="HG838" s="41"/>
      <c r="HH838" s="41"/>
      <c r="HI838" s="41"/>
      <c r="HJ838" s="41"/>
      <c r="HK838" s="41"/>
      <c r="HL838" s="41"/>
      <c r="HM838" s="41"/>
      <c r="HN838" s="41"/>
      <c r="HO838" s="41"/>
      <c r="HP838" s="41"/>
      <c r="HQ838" s="41"/>
      <c r="HR838" s="41"/>
      <c r="HS838" s="41"/>
      <c r="HT838" s="41"/>
      <c r="HU838" s="41"/>
      <c r="HV838" s="41"/>
      <c r="HW838" s="41"/>
      <c r="HX838" s="41"/>
      <c r="HY838" s="41"/>
      <c r="HZ838" s="41"/>
      <c r="IA838" s="41"/>
      <c r="IB838" s="41"/>
      <c r="IC838" s="41"/>
      <c r="ID838" s="41"/>
      <c r="IE838" s="41"/>
      <c r="IF838" s="41"/>
      <c r="IG838" s="41"/>
      <c r="IH838" s="41"/>
      <c r="II838" s="41"/>
      <c r="IJ838" s="41"/>
      <c r="IK838" s="41"/>
      <c r="IL838" s="41"/>
    </row>
    <row r="839" spans="1:246" s="3" customFormat="1" x14ac:dyDescent="0.2">
      <c r="A839" s="30">
        <v>2169</v>
      </c>
      <c r="B839" s="29" t="s">
        <v>29</v>
      </c>
      <c r="C839" s="24">
        <v>250000</v>
      </c>
      <c r="D839" s="24">
        <v>250000</v>
      </c>
      <c r="E839" s="527">
        <v>5930</v>
      </c>
      <c r="F839" s="528">
        <f>SUM(E840:E842)</f>
        <v>5930</v>
      </c>
      <c r="G839" s="120">
        <f t="shared" si="211"/>
        <v>2.3720000000000003</v>
      </c>
      <c r="H839" s="121">
        <f t="shared" si="212"/>
        <v>2.3720000000000003</v>
      </c>
      <c r="I839" s="121">
        <f t="shared" si="210"/>
        <v>232.2175404520606</v>
      </c>
      <c r="J839" s="6">
        <v>2553.64</v>
      </c>
      <c r="K839" s="41"/>
      <c r="L839" s="41"/>
      <c r="M839" s="41"/>
      <c r="N839" s="41"/>
      <c r="O839" s="41"/>
      <c r="P839" s="41"/>
      <c r="Q839" s="41"/>
      <c r="R839" s="41"/>
      <c r="S839" s="41"/>
      <c r="T839" s="41"/>
      <c r="U839" s="41"/>
      <c r="V839" s="41"/>
      <c r="W839" s="41"/>
      <c r="X839" s="41"/>
      <c r="Y839" s="41"/>
      <c r="Z839" s="41"/>
      <c r="AA839" s="41"/>
      <c r="AB839" s="41"/>
      <c r="AC839" s="41"/>
      <c r="AD839" s="41"/>
      <c r="AE839" s="41"/>
      <c r="AF839" s="41"/>
      <c r="AG839" s="41"/>
      <c r="AH839" s="41"/>
      <c r="AI839" s="41"/>
      <c r="AJ839" s="41"/>
      <c r="AK839" s="41"/>
      <c r="AL839" s="41"/>
      <c r="AM839" s="41"/>
      <c r="AN839" s="41"/>
      <c r="AO839" s="41"/>
      <c r="AP839" s="41"/>
      <c r="AQ839" s="41"/>
      <c r="AR839" s="41"/>
      <c r="AS839" s="41"/>
      <c r="AT839" s="41"/>
      <c r="AU839" s="41"/>
      <c r="AV839" s="41"/>
      <c r="AW839" s="41"/>
      <c r="AX839" s="41"/>
      <c r="AY839" s="41"/>
      <c r="AZ839" s="41"/>
      <c r="BA839" s="41"/>
      <c r="BB839" s="41"/>
      <c r="BC839" s="41"/>
      <c r="BD839" s="41"/>
      <c r="BE839" s="41"/>
      <c r="BF839" s="41"/>
      <c r="BG839" s="41"/>
      <c r="BH839" s="41"/>
      <c r="BI839" s="41"/>
      <c r="BJ839" s="41"/>
      <c r="BK839" s="41"/>
      <c r="BL839" s="41"/>
      <c r="BM839" s="41"/>
      <c r="BN839" s="41"/>
      <c r="BO839" s="41"/>
      <c r="BP839" s="41"/>
      <c r="BQ839" s="41"/>
      <c r="BR839" s="41"/>
      <c r="BS839" s="41"/>
      <c r="BT839" s="41"/>
      <c r="BU839" s="41"/>
      <c r="BV839" s="41"/>
      <c r="BW839" s="41"/>
      <c r="BX839" s="41"/>
      <c r="BY839" s="41"/>
      <c r="BZ839" s="41"/>
      <c r="CA839" s="41"/>
      <c r="CB839" s="41"/>
      <c r="CC839" s="41"/>
      <c r="CD839" s="41"/>
      <c r="CE839" s="41"/>
      <c r="CF839" s="41"/>
      <c r="CG839" s="41"/>
      <c r="CH839" s="41"/>
      <c r="CI839" s="41"/>
      <c r="CJ839" s="41"/>
      <c r="CK839" s="41"/>
      <c r="CL839" s="41"/>
      <c r="CM839" s="41"/>
      <c r="CN839" s="41"/>
      <c r="CO839" s="41"/>
      <c r="CP839" s="41"/>
      <c r="CQ839" s="41"/>
      <c r="CR839" s="41"/>
      <c r="CS839" s="41"/>
      <c r="CT839" s="41"/>
      <c r="CU839" s="41"/>
      <c r="CV839" s="41"/>
      <c r="CW839" s="41"/>
      <c r="CX839" s="41"/>
      <c r="CY839" s="41"/>
      <c r="CZ839" s="41"/>
      <c r="DA839" s="41"/>
      <c r="DB839" s="41"/>
      <c r="DC839" s="41"/>
      <c r="DD839" s="41"/>
      <c r="DE839" s="41"/>
      <c r="DF839" s="41"/>
      <c r="DG839" s="41"/>
      <c r="DH839" s="41"/>
      <c r="DI839" s="41"/>
      <c r="DJ839" s="41"/>
      <c r="DK839" s="41"/>
      <c r="DL839" s="41"/>
      <c r="DM839" s="41"/>
      <c r="DN839" s="41"/>
      <c r="DO839" s="41"/>
      <c r="DP839" s="41"/>
      <c r="DQ839" s="41"/>
      <c r="DR839" s="41"/>
      <c r="DS839" s="41"/>
      <c r="DT839" s="41"/>
      <c r="DU839" s="41"/>
      <c r="DV839" s="41"/>
      <c r="DW839" s="41"/>
      <c r="DX839" s="41"/>
      <c r="DY839" s="41"/>
      <c r="DZ839" s="41"/>
      <c r="EA839" s="41"/>
      <c r="EB839" s="41"/>
      <c r="EC839" s="41"/>
      <c r="ED839" s="41"/>
      <c r="EE839" s="41"/>
      <c r="EF839" s="41"/>
      <c r="EG839" s="41"/>
      <c r="EH839" s="41"/>
      <c r="EI839" s="41"/>
      <c r="EJ839" s="41"/>
      <c r="EK839" s="41"/>
      <c r="EL839" s="41"/>
      <c r="EM839" s="41"/>
      <c r="EN839" s="41"/>
      <c r="EO839" s="41"/>
      <c r="EP839" s="41"/>
      <c r="EQ839" s="41"/>
      <c r="ER839" s="41"/>
      <c r="ES839" s="41"/>
      <c r="ET839" s="41"/>
      <c r="EU839" s="41"/>
      <c r="EV839" s="41"/>
      <c r="EW839" s="41"/>
      <c r="EX839" s="41"/>
      <c r="EY839" s="41"/>
      <c r="EZ839" s="41"/>
      <c r="FA839" s="41"/>
      <c r="FB839" s="41"/>
      <c r="FC839" s="41"/>
      <c r="FD839" s="41"/>
      <c r="FE839" s="41"/>
      <c r="FF839" s="41"/>
      <c r="FG839" s="41"/>
      <c r="FH839" s="41"/>
      <c r="FI839" s="41"/>
      <c r="FJ839" s="41"/>
      <c r="FK839" s="41"/>
      <c r="FL839" s="41"/>
      <c r="FM839" s="41"/>
      <c r="FN839" s="41"/>
      <c r="FO839" s="41"/>
      <c r="FP839" s="41"/>
      <c r="FQ839" s="41"/>
      <c r="FR839" s="41"/>
      <c r="FS839" s="41"/>
      <c r="FT839" s="41"/>
      <c r="FU839" s="41"/>
      <c r="FV839" s="41"/>
      <c r="FW839" s="41"/>
      <c r="FX839" s="41"/>
      <c r="FY839" s="41"/>
      <c r="FZ839" s="41"/>
      <c r="GA839" s="41"/>
      <c r="GB839" s="41"/>
      <c r="GC839" s="41"/>
      <c r="GD839" s="41"/>
      <c r="GE839" s="41"/>
      <c r="GF839" s="41"/>
      <c r="GG839" s="41"/>
      <c r="GH839" s="41"/>
      <c r="GI839" s="41"/>
      <c r="GJ839" s="41"/>
      <c r="GK839" s="41"/>
      <c r="GL839" s="41"/>
      <c r="GM839" s="41"/>
      <c r="GN839" s="41"/>
      <c r="GO839" s="41"/>
      <c r="GP839" s="41"/>
      <c r="GQ839" s="41"/>
      <c r="GR839" s="41"/>
      <c r="GS839" s="41"/>
      <c r="GT839" s="41"/>
      <c r="GU839" s="41"/>
      <c r="GV839" s="41"/>
      <c r="GW839" s="41"/>
      <c r="GX839" s="41"/>
      <c r="GY839" s="41"/>
      <c r="GZ839" s="41"/>
      <c r="HA839" s="41"/>
      <c r="HB839" s="41"/>
      <c r="HC839" s="41"/>
      <c r="HD839" s="41"/>
      <c r="HE839" s="41"/>
      <c r="HF839" s="41"/>
      <c r="HG839" s="41"/>
      <c r="HH839" s="41"/>
      <c r="HI839" s="41"/>
      <c r="HJ839" s="41"/>
      <c r="HK839" s="41"/>
      <c r="HL839" s="41"/>
      <c r="HM839" s="41"/>
      <c r="HN839" s="41"/>
      <c r="HO839" s="41"/>
      <c r="HP839" s="41"/>
      <c r="HQ839" s="41"/>
      <c r="HR839" s="41"/>
      <c r="HS839" s="41"/>
      <c r="HT839" s="41"/>
      <c r="HU839" s="41"/>
      <c r="HV839" s="41"/>
      <c r="HW839" s="41"/>
      <c r="HX839" s="41"/>
      <c r="HY839" s="41"/>
      <c r="HZ839" s="41"/>
      <c r="IA839" s="41"/>
      <c r="IB839" s="41"/>
      <c r="IC839" s="41"/>
      <c r="ID839" s="41"/>
      <c r="IE839" s="41"/>
      <c r="IF839" s="41"/>
      <c r="IG839" s="41"/>
      <c r="IH839" s="41"/>
      <c r="II839" s="41"/>
      <c r="IJ839" s="41"/>
      <c r="IK839" s="41"/>
      <c r="IL839" s="41"/>
    </row>
    <row r="840" spans="1:246" s="3" customFormat="1" x14ac:dyDescent="0.2">
      <c r="A840" s="30"/>
      <c r="B840" s="28" t="s">
        <v>28</v>
      </c>
      <c r="C840" s="9">
        <v>47000</v>
      </c>
      <c r="D840" s="9">
        <v>47000</v>
      </c>
      <c r="E840" s="719">
        <v>5930</v>
      </c>
      <c r="F840" s="496"/>
      <c r="G840" s="126">
        <f t="shared" si="211"/>
        <v>12.617021276595745</v>
      </c>
      <c r="H840" s="130">
        <f t="shared" si="212"/>
        <v>12.617021276595745</v>
      </c>
      <c r="I840" s="130">
        <f t="shared" si="210"/>
        <v>381.68430266985911</v>
      </c>
      <c r="J840" s="14">
        <v>1553.64</v>
      </c>
      <c r="K840" s="41"/>
      <c r="L840" s="41"/>
      <c r="M840" s="41"/>
      <c r="N840" s="41"/>
      <c r="O840" s="41"/>
      <c r="P840" s="41"/>
      <c r="Q840" s="41"/>
      <c r="R840" s="41"/>
      <c r="S840" s="41"/>
      <c r="T840" s="41"/>
      <c r="U840" s="41"/>
      <c r="V840" s="41"/>
      <c r="W840" s="41"/>
      <c r="X840" s="41"/>
      <c r="Y840" s="41"/>
      <c r="Z840" s="41"/>
      <c r="AA840" s="41"/>
      <c r="AB840" s="41"/>
      <c r="AC840" s="41"/>
      <c r="AD840" s="41"/>
      <c r="AE840" s="41"/>
      <c r="AF840" s="41"/>
      <c r="AG840" s="41"/>
      <c r="AH840" s="41"/>
      <c r="AI840" s="41"/>
      <c r="AJ840" s="41"/>
      <c r="AK840" s="41"/>
      <c r="AL840" s="41"/>
      <c r="AM840" s="41"/>
      <c r="AN840" s="41"/>
      <c r="AO840" s="41"/>
      <c r="AP840" s="41"/>
      <c r="AQ840" s="41"/>
      <c r="AR840" s="41"/>
      <c r="AS840" s="41"/>
      <c r="AT840" s="41"/>
      <c r="AU840" s="41"/>
      <c r="AV840" s="41"/>
      <c r="AW840" s="41"/>
      <c r="AX840" s="41"/>
      <c r="AY840" s="41"/>
      <c r="AZ840" s="41"/>
      <c r="BA840" s="41"/>
      <c r="BB840" s="41"/>
      <c r="BC840" s="41"/>
      <c r="BD840" s="41"/>
      <c r="BE840" s="41"/>
      <c r="BF840" s="41"/>
      <c r="BG840" s="41"/>
      <c r="BH840" s="41"/>
      <c r="BI840" s="41"/>
      <c r="BJ840" s="41"/>
      <c r="BK840" s="41"/>
      <c r="BL840" s="41"/>
      <c r="BM840" s="41"/>
      <c r="BN840" s="41"/>
      <c r="BO840" s="41"/>
      <c r="BP840" s="41"/>
      <c r="BQ840" s="41"/>
      <c r="BR840" s="41"/>
      <c r="BS840" s="41"/>
      <c r="BT840" s="41"/>
      <c r="BU840" s="41"/>
      <c r="BV840" s="41"/>
      <c r="BW840" s="41"/>
      <c r="BX840" s="41"/>
      <c r="BY840" s="41"/>
      <c r="BZ840" s="41"/>
      <c r="CA840" s="41"/>
      <c r="CB840" s="41"/>
      <c r="CC840" s="41"/>
      <c r="CD840" s="41"/>
      <c r="CE840" s="41"/>
      <c r="CF840" s="41"/>
      <c r="CG840" s="41"/>
      <c r="CH840" s="41"/>
      <c r="CI840" s="41"/>
      <c r="CJ840" s="41"/>
      <c r="CK840" s="41"/>
      <c r="CL840" s="41"/>
      <c r="CM840" s="41"/>
      <c r="CN840" s="41"/>
      <c r="CO840" s="41"/>
      <c r="CP840" s="41"/>
      <c r="CQ840" s="41"/>
      <c r="CR840" s="41"/>
      <c r="CS840" s="41"/>
      <c r="CT840" s="41"/>
      <c r="CU840" s="41"/>
      <c r="CV840" s="41"/>
      <c r="CW840" s="41"/>
      <c r="CX840" s="41"/>
      <c r="CY840" s="41"/>
      <c r="CZ840" s="41"/>
      <c r="DA840" s="41"/>
      <c r="DB840" s="41"/>
      <c r="DC840" s="41"/>
      <c r="DD840" s="41"/>
      <c r="DE840" s="41"/>
      <c r="DF840" s="41"/>
      <c r="DG840" s="41"/>
      <c r="DH840" s="41"/>
      <c r="DI840" s="41"/>
      <c r="DJ840" s="41"/>
      <c r="DK840" s="41"/>
      <c r="DL840" s="41"/>
      <c r="DM840" s="41"/>
      <c r="DN840" s="41"/>
      <c r="DO840" s="41"/>
      <c r="DP840" s="41"/>
      <c r="DQ840" s="41"/>
      <c r="DR840" s="41"/>
      <c r="DS840" s="41"/>
      <c r="DT840" s="41"/>
      <c r="DU840" s="41"/>
      <c r="DV840" s="41"/>
      <c r="DW840" s="41"/>
      <c r="DX840" s="41"/>
      <c r="DY840" s="41"/>
      <c r="DZ840" s="41"/>
      <c r="EA840" s="41"/>
      <c r="EB840" s="41"/>
      <c r="EC840" s="41"/>
      <c r="ED840" s="41"/>
      <c r="EE840" s="41"/>
      <c r="EF840" s="41"/>
      <c r="EG840" s="41"/>
      <c r="EH840" s="41"/>
      <c r="EI840" s="41"/>
      <c r="EJ840" s="41"/>
      <c r="EK840" s="41"/>
      <c r="EL840" s="41"/>
      <c r="EM840" s="41"/>
      <c r="EN840" s="41"/>
      <c r="EO840" s="41"/>
      <c r="EP840" s="41"/>
      <c r="EQ840" s="41"/>
      <c r="ER840" s="41"/>
      <c r="ES840" s="41"/>
      <c r="ET840" s="41"/>
      <c r="EU840" s="41"/>
      <c r="EV840" s="41"/>
      <c r="EW840" s="41"/>
      <c r="EX840" s="41"/>
      <c r="EY840" s="41"/>
      <c r="EZ840" s="41"/>
      <c r="FA840" s="41"/>
      <c r="FB840" s="41"/>
      <c r="FC840" s="41"/>
      <c r="FD840" s="41"/>
      <c r="FE840" s="41"/>
      <c r="FF840" s="41"/>
      <c r="FG840" s="41"/>
      <c r="FH840" s="41"/>
      <c r="FI840" s="41"/>
      <c r="FJ840" s="41"/>
      <c r="FK840" s="41"/>
      <c r="FL840" s="41"/>
      <c r="FM840" s="41"/>
      <c r="FN840" s="41"/>
      <c r="FO840" s="41"/>
      <c r="FP840" s="41"/>
      <c r="FQ840" s="41"/>
      <c r="FR840" s="41"/>
      <c r="FS840" s="41"/>
      <c r="FT840" s="41"/>
      <c r="FU840" s="41"/>
      <c r="FV840" s="41"/>
      <c r="FW840" s="41"/>
      <c r="FX840" s="41"/>
      <c r="FY840" s="41"/>
      <c r="FZ840" s="41"/>
      <c r="GA840" s="41"/>
      <c r="GB840" s="41"/>
      <c r="GC840" s="41"/>
      <c r="GD840" s="41"/>
      <c r="GE840" s="41"/>
      <c r="GF840" s="41"/>
      <c r="GG840" s="41"/>
      <c r="GH840" s="41"/>
      <c r="GI840" s="41"/>
      <c r="GJ840" s="41"/>
      <c r="GK840" s="41"/>
      <c r="GL840" s="41"/>
      <c r="GM840" s="41"/>
      <c r="GN840" s="41"/>
      <c r="GO840" s="41"/>
      <c r="GP840" s="41"/>
      <c r="GQ840" s="41"/>
      <c r="GR840" s="41"/>
      <c r="GS840" s="41"/>
      <c r="GT840" s="41"/>
      <c r="GU840" s="41"/>
      <c r="GV840" s="41"/>
      <c r="GW840" s="41"/>
      <c r="GX840" s="41"/>
      <c r="GY840" s="41"/>
      <c r="GZ840" s="41"/>
      <c r="HA840" s="41"/>
      <c r="HB840" s="41"/>
      <c r="HC840" s="41"/>
      <c r="HD840" s="41"/>
      <c r="HE840" s="41"/>
      <c r="HF840" s="41"/>
      <c r="HG840" s="41"/>
      <c r="HH840" s="41"/>
      <c r="HI840" s="41"/>
      <c r="HJ840" s="41"/>
      <c r="HK840" s="41"/>
      <c r="HL840" s="41"/>
      <c r="HM840" s="41"/>
      <c r="HN840" s="41"/>
      <c r="HO840" s="41"/>
      <c r="HP840" s="41"/>
      <c r="HQ840" s="41"/>
      <c r="HR840" s="41"/>
      <c r="HS840" s="41"/>
      <c r="HT840" s="41"/>
      <c r="HU840" s="41"/>
      <c r="HV840" s="41"/>
      <c r="HW840" s="41"/>
      <c r="HX840" s="41"/>
      <c r="HY840" s="41"/>
      <c r="HZ840" s="41"/>
      <c r="IA840" s="41"/>
      <c r="IB840" s="41"/>
      <c r="IC840" s="41"/>
      <c r="ID840" s="41"/>
      <c r="IE840" s="41"/>
      <c r="IF840" s="41"/>
      <c r="IG840" s="41"/>
      <c r="IH840" s="41"/>
      <c r="II840" s="41"/>
      <c r="IJ840" s="41"/>
      <c r="IK840" s="41"/>
      <c r="IL840" s="41"/>
    </row>
    <row r="841" spans="1:246" s="3" customFormat="1" x14ac:dyDescent="0.2">
      <c r="A841" s="30"/>
      <c r="B841" s="28" t="s">
        <v>27</v>
      </c>
      <c r="C841" s="9">
        <v>200000</v>
      </c>
      <c r="D841" s="9">
        <v>200000</v>
      </c>
      <c r="E841" s="719">
        <v>0</v>
      </c>
      <c r="F841" s="496"/>
      <c r="G841" s="126">
        <f t="shared" si="211"/>
        <v>0</v>
      </c>
      <c r="H841" s="130">
        <f t="shared" si="212"/>
        <v>0</v>
      </c>
      <c r="I841" s="130">
        <f t="shared" si="210"/>
        <v>0</v>
      </c>
      <c r="J841" s="6">
        <v>1000</v>
      </c>
      <c r="K841" s="41"/>
      <c r="L841" s="41"/>
      <c r="M841" s="41"/>
      <c r="N841" s="41"/>
      <c r="O841" s="41"/>
      <c r="P841" s="41"/>
      <c r="Q841" s="41"/>
      <c r="R841" s="41"/>
      <c r="S841" s="41"/>
      <c r="T841" s="41"/>
      <c r="U841" s="41"/>
      <c r="V841" s="41"/>
      <c r="W841" s="41"/>
      <c r="X841" s="41"/>
      <c r="Y841" s="41"/>
      <c r="Z841" s="41"/>
      <c r="AA841" s="41"/>
      <c r="AB841" s="41"/>
      <c r="AC841" s="41"/>
      <c r="AD841" s="41"/>
      <c r="AE841" s="41"/>
      <c r="AF841" s="41"/>
      <c r="AG841" s="41"/>
      <c r="AH841" s="41"/>
      <c r="AI841" s="41"/>
      <c r="AJ841" s="41"/>
      <c r="AK841" s="41"/>
      <c r="AL841" s="41"/>
      <c r="AM841" s="41"/>
      <c r="AN841" s="41"/>
      <c r="AO841" s="41"/>
      <c r="AP841" s="41"/>
      <c r="AQ841" s="41"/>
      <c r="AR841" s="41"/>
      <c r="AS841" s="41"/>
      <c r="AT841" s="41"/>
      <c r="AU841" s="41"/>
      <c r="AV841" s="41"/>
      <c r="AW841" s="41"/>
      <c r="AX841" s="41"/>
      <c r="AY841" s="41"/>
      <c r="AZ841" s="41"/>
      <c r="BA841" s="41"/>
      <c r="BB841" s="41"/>
      <c r="BC841" s="41"/>
      <c r="BD841" s="41"/>
      <c r="BE841" s="41"/>
      <c r="BF841" s="41"/>
      <c r="BG841" s="41"/>
      <c r="BH841" s="41"/>
      <c r="BI841" s="41"/>
      <c r="BJ841" s="41"/>
      <c r="BK841" s="41"/>
      <c r="BL841" s="41"/>
      <c r="BM841" s="41"/>
      <c r="BN841" s="41"/>
      <c r="BO841" s="41"/>
      <c r="BP841" s="41"/>
      <c r="BQ841" s="41"/>
      <c r="BR841" s="41"/>
      <c r="BS841" s="41"/>
      <c r="BT841" s="41"/>
      <c r="BU841" s="41"/>
      <c r="BV841" s="41"/>
      <c r="BW841" s="41"/>
      <c r="BX841" s="41"/>
      <c r="BY841" s="41"/>
      <c r="BZ841" s="41"/>
      <c r="CA841" s="41"/>
      <c r="CB841" s="41"/>
      <c r="CC841" s="41"/>
      <c r="CD841" s="41"/>
      <c r="CE841" s="41"/>
      <c r="CF841" s="41"/>
      <c r="CG841" s="41"/>
      <c r="CH841" s="41"/>
      <c r="CI841" s="41"/>
      <c r="CJ841" s="41"/>
      <c r="CK841" s="41"/>
      <c r="CL841" s="41"/>
      <c r="CM841" s="41"/>
      <c r="CN841" s="41"/>
      <c r="CO841" s="41"/>
      <c r="CP841" s="41"/>
      <c r="CQ841" s="41"/>
      <c r="CR841" s="41"/>
      <c r="CS841" s="41"/>
      <c r="CT841" s="41"/>
      <c r="CU841" s="41"/>
      <c r="CV841" s="41"/>
      <c r="CW841" s="41"/>
      <c r="CX841" s="41"/>
      <c r="CY841" s="41"/>
      <c r="CZ841" s="41"/>
      <c r="DA841" s="41"/>
      <c r="DB841" s="41"/>
      <c r="DC841" s="41"/>
      <c r="DD841" s="41"/>
      <c r="DE841" s="41"/>
      <c r="DF841" s="41"/>
      <c r="DG841" s="41"/>
      <c r="DH841" s="41"/>
      <c r="DI841" s="41"/>
      <c r="DJ841" s="41"/>
      <c r="DK841" s="41"/>
      <c r="DL841" s="41"/>
      <c r="DM841" s="41"/>
      <c r="DN841" s="41"/>
      <c r="DO841" s="41"/>
      <c r="DP841" s="41"/>
      <c r="DQ841" s="41"/>
      <c r="DR841" s="41"/>
      <c r="DS841" s="41"/>
      <c r="DT841" s="41"/>
      <c r="DU841" s="41"/>
      <c r="DV841" s="41"/>
      <c r="DW841" s="41"/>
      <c r="DX841" s="41"/>
      <c r="DY841" s="41"/>
      <c r="DZ841" s="41"/>
      <c r="EA841" s="41"/>
      <c r="EB841" s="41"/>
      <c r="EC841" s="41"/>
      <c r="ED841" s="41"/>
      <c r="EE841" s="41"/>
      <c r="EF841" s="41"/>
      <c r="EG841" s="41"/>
      <c r="EH841" s="41"/>
      <c r="EI841" s="41"/>
      <c r="EJ841" s="41"/>
      <c r="EK841" s="41"/>
      <c r="EL841" s="41"/>
      <c r="EM841" s="41"/>
      <c r="EN841" s="41"/>
      <c r="EO841" s="41"/>
      <c r="EP841" s="41"/>
      <c r="EQ841" s="41"/>
      <c r="ER841" s="41"/>
      <c r="ES841" s="41"/>
      <c r="ET841" s="41"/>
      <c r="EU841" s="41"/>
      <c r="EV841" s="41"/>
      <c r="EW841" s="41"/>
      <c r="EX841" s="41"/>
      <c r="EY841" s="41"/>
      <c r="EZ841" s="41"/>
      <c r="FA841" s="41"/>
      <c r="FB841" s="41"/>
      <c r="FC841" s="41"/>
      <c r="FD841" s="41"/>
      <c r="FE841" s="41"/>
      <c r="FF841" s="41"/>
      <c r="FG841" s="41"/>
      <c r="FH841" s="41"/>
      <c r="FI841" s="41"/>
      <c r="FJ841" s="41"/>
      <c r="FK841" s="41"/>
      <c r="FL841" s="41"/>
      <c r="FM841" s="41"/>
      <c r="FN841" s="41"/>
      <c r="FO841" s="41"/>
      <c r="FP841" s="41"/>
      <c r="FQ841" s="41"/>
      <c r="FR841" s="41"/>
      <c r="FS841" s="41"/>
      <c r="FT841" s="41"/>
      <c r="FU841" s="41"/>
      <c r="FV841" s="41"/>
      <c r="FW841" s="41"/>
      <c r="FX841" s="41"/>
      <c r="FY841" s="41"/>
      <c r="FZ841" s="41"/>
      <c r="GA841" s="41"/>
      <c r="GB841" s="41"/>
      <c r="GC841" s="41"/>
      <c r="GD841" s="41"/>
      <c r="GE841" s="41"/>
      <c r="GF841" s="41"/>
      <c r="GG841" s="41"/>
      <c r="GH841" s="41"/>
      <c r="GI841" s="41"/>
      <c r="GJ841" s="41"/>
      <c r="GK841" s="41"/>
      <c r="GL841" s="41"/>
      <c r="GM841" s="41"/>
      <c r="GN841" s="41"/>
      <c r="GO841" s="41"/>
      <c r="GP841" s="41"/>
      <c r="GQ841" s="41"/>
      <c r="GR841" s="41"/>
      <c r="GS841" s="41"/>
      <c r="GT841" s="41"/>
      <c r="GU841" s="41"/>
      <c r="GV841" s="41"/>
      <c r="GW841" s="41"/>
      <c r="GX841" s="41"/>
      <c r="GY841" s="41"/>
      <c r="GZ841" s="41"/>
      <c r="HA841" s="41"/>
      <c r="HB841" s="41"/>
      <c r="HC841" s="41"/>
      <c r="HD841" s="41"/>
      <c r="HE841" s="41"/>
      <c r="HF841" s="41"/>
      <c r="HG841" s="41"/>
      <c r="HH841" s="41"/>
      <c r="HI841" s="41"/>
      <c r="HJ841" s="41"/>
      <c r="HK841" s="41"/>
      <c r="HL841" s="41"/>
      <c r="HM841" s="41"/>
      <c r="HN841" s="41"/>
      <c r="HO841" s="41"/>
      <c r="HP841" s="41"/>
      <c r="HQ841" s="41"/>
      <c r="HR841" s="41"/>
      <c r="HS841" s="41"/>
      <c r="HT841" s="41"/>
      <c r="HU841" s="41"/>
      <c r="HV841" s="41"/>
      <c r="HW841" s="41"/>
      <c r="HX841" s="41"/>
      <c r="HY841" s="41"/>
      <c r="HZ841" s="41"/>
      <c r="IA841" s="41"/>
      <c r="IB841" s="41"/>
      <c r="IC841" s="41"/>
      <c r="ID841" s="41"/>
      <c r="IE841" s="41"/>
      <c r="IF841" s="41"/>
      <c r="IG841" s="41"/>
      <c r="IH841" s="41"/>
      <c r="II841" s="41"/>
      <c r="IJ841" s="41"/>
      <c r="IK841" s="41"/>
      <c r="IL841" s="41"/>
    </row>
    <row r="842" spans="1:246" s="3" customFormat="1" x14ac:dyDescent="0.2">
      <c r="A842" s="30"/>
      <c r="B842" s="28" t="s">
        <v>26</v>
      </c>
      <c r="C842" s="9">
        <v>3000</v>
      </c>
      <c r="D842" s="9">
        <v>3000</v>
      </c>
      <c r="E842" s="719">
        <v>0</v>
      </c>
      <c r="F842" s="496"/>
      <c r="G842" s="126">
        <f t="shared" si="211"/>
        <v>0</v>
      </c>
      <c r="H842" s="130">
        <f t="shared" si="212"/>
        <v>0</v>
      </c>
      <c r="I842" s="130">
        <v>0</v>
      </c>
      <c r="J842" s="14">
        <v>0</v>
      </c>
      <c r="K842" s="41"/>
      <c r="L842" s="41"/>
      <c r="M842" s="41"/>
      <c r="N842" s="41"/>
      <c r="O842" s="41"/>
      <c r="P842" s="41"/>
      <c r="Q842" s="41"/>
      <c r="R842" s="41"/>
      <c r="S842" s="41"/>
      <c r="T842" s="41"/>
      <c r="U842" s="41"/>
      <c r="V842" s="41"/>
      <c r="W842" s="41"/>
      <c r="X842" s="41"/>
      <c r="Y842" s="41"/>
      <c r="Z842" s="41"/>
      <c r="AA842" s="41"/>
      <c r="AB842" s="41"/>
      <c r="AC842" s="41"/>
      <c r="AD842" s="41"/>
      <c r="AE842" s="41"/>
      <c r="AF842" s="41"/>
      <c r="AG842" s="41"/>
      <c r="AH842" s="41"/>
      <c r="AI842" s="41"/>
      <c r="AJ842" s="41"/>
      <c r="AK842" s="41"/>
      <c r="AL842" s="41"/>
      <c r="AM842" s="41"/>
      <c r="AN842" s="41"/>
      <c r="AO842" s="41"/>
      <c r="AP842" s="41"/>
      <c r="AQ842" s="41"/>
      <c r="AR842" s="41"/>
      <c r="AS842" s="41"/>
      <c r="AT842" s="41"/>
      <c r="AU842" s="41"/>
      <c r="AV842" s="41"/>
      <c r="AW842" s="41"/>
      <c r="AX842" s="41"/>
      <c r="AY842" s="41"/>
      <c r="AZ842" s="41"/>
      <c r="BA842" s="41"/>
      <c r="BB842" s="41"/>
      <c r="BC842" s="41"/>
      <c r="BD842" s="41"/>
      <c r="BE842" s="41"/>
      <c r="BF842" s="41"/>
      <c r="BG842" s="41"/>
      <c r="BH842" s="41"/>
      <c r="BI842" s="41"/>
      <c r="BJ842" s="41"/>
      <c r="BK842" s="41"/>
      <c r="BL842" s="41"/>
      <c r="BM842" s="41"/>
      <c r="BN842" s="41"/>
      <c r="BO842" s="41"/>
      <c r="BP842" s="41"/>
      <c r="BQ842" s="41"/>
      <c r="BR842" s="41"/>
      <c r="BS842" s="41"/>
      <c r="BT842" s="41"/>
      <c r="BU842" s="41"/>
      <c r="BV842" s="41"/>
      <c r="BW842" s="41"/>
      <c r="BX842" s="41"/>
      <c r="BY842" s="41"/>
      <c r="BZ842" s="41"/>
      <c r="CA842" s="41"/>
      <c r="CB842" s="41"/>
      <c r="CC842" s="41"/>
      <c r="CD842" s="41"/>
      <c r="CE842" s="41"/>
      <c r="CF842" s="41"/>
      <c r="CG842" s="41"/>
      <c r="CH842" s="41"/>
      <c r="CI842" s="41"/>
      <c r="CJ842" s="41"/>
      <c r="CK842" s="41"/>
      <c r="CL842" s="41"/>
      <c r="CM842" s="41"/>
      <c r="CN842" s="41"/>
      <c r="CO842" s="41"/>
      <c r="CP842" s="41"/>
      <c r="CQ842" s="41"/>
      <c r="CR842" s="41"/>
      <c r="CS842" s="41"/>
      <c r="CT842" s="41"/>
      <c r="CU842" s="41"/>
      <c r="CV842" s="41"/>
      <c r="CW842" s="41"/>
      <c r="CX842" s="41"/>
      <c r="CY842" s="41"/>
      <c r="CZ842" s="41"/>
      <c r="DA842" s="41"/>
      <c r="DB842" s="41"/>
      <c r="DC842" s="41"/>
      <c r="DD842" s="41"/>
      <c r="DE842" s="41"/>
      <c r="DF842" s="41"/>
      <c r="DG842" s="41"/>
      <c r="DH842" s="41"/>
      <c r="DI842" s="41"/>
      <c r="DJ842" s="41"/>
      <c r="DK842" s="41"/>
      <c r="DL842" s="41"/>
      <c r="DM842" s="41"/>
      <c r="DN842" s="41"/>
      <c r="DO842" s="41"/>
      <c r="DP842" s="41"/>
      <c r="DQ842" s="41"/>
      <c r="DR842" s="41"/>
      <c r="DS842" s="41"/>
      <c r="DT842" s="41"/>
      <c r="DU842" s="41"/>
      <c r="DV842" s="41"/>
      <c r="DW842" s="41"/>
      <c r="DX842" s="41"/>
      <c r="DY842" s="41"/>
      <c r="DZ842" s="41"/>
      <c r="EA842" s="41"/>
      <c r="EB842" s="41"/>
      <c r="EC842" s="41"/>
      <c r="ED842" s="41"/>
      <c r="EE842" s="41"/>
      <c r="EF842" s="41"/>
      <c r="EG842" s="41"/>
      <c r="EH842" s="41"/>
      <c r="EI842" s="41"/>
      <c r="EJ842" s="41"/>
      <c r="EK842" s="41"/>
      <c r="EL842" s="41"/>
      <c r="EM842" s="41"/>
      <c r="EN842" s="41"/>
      <c r="EO842" s="41"/>
      <c r="EP842" s="41"/>
      <c r="EQ842" s="41"/>
      <c r="ER842" s="41"/>
      <c r="ES842" s="41"/>
      <c r="ET842" s="41"/>
      <c r="EU842" s="41"/>
      <c r="EV842" s="41"/>
      <c r="EW842" s="41"/>
      <c r="EX842" s="41"/>
      <c r="EY842" s="41"/>
      <c r="EZ842" s="41"/>
      <c r="FA842" s="41"/>
      <c r="FB842" s="41"/>
      <c r="FC842" s="41"/>
      <c r="FD842" s="41"/>
      <c r="FE842" s="41"/>
      <c r="FF842" s="41"/>
      <c r="FG842" s="41"/>
      <c r="FH842" s="41"/>
      <c r="FI842" s="41"/>
      <c r="FJ842" s="41"/>
      <c r="FK842" s="41"/>
      <c r="FL842" s="41"/>
      <c r="FM842" s="41"/>
      <c r="FN842" s="41"/>
      <c r="FO842" s="41"/>
      <c r="FP842" s="41"/>
      <c r="FQ842" s="41"/>
      <c r="FR842" s="41"/>
      <c r="FS842" s="41"/>
      <c r="FT842" s="41"/>
      <c r="FU842" s="41"/>
      <c r="FV842" s="41"/>
      <c r="FW842" s="41"/>
      <c r="FX842" s="41"/>
      <c r="FY842" s="41"/>
      <c r="FZ842" s="41"/>
      <c r="GA842" s="41"/>
      <c r="GB842" s="41"/>
      <c r="GC842" s="41"/>
      <c r="GD842" s="41"/>
      <c r="GE842" s="41"/>
      <c r="GF842" s="41"/>
      <c r="GG842" s="41"/>
      <c r="GH842" s="41"/>
      <c r="GI842" s="41"/>
      <c r="GJ842" s="41"/>
      <c r="GK842" s="41"/>
      <c r="GL842" s="41"/>
      <c r="GM842" s="41"/>
      <c r="GN842" s="41"/>
      <c r="GO842" s="41"/>
      <c r="GP842" s="41"/>
      <c r="GQ842" s="41"/>
      <c r="GR842" s="41"/>
      <c r="GS842" s="41"/>
      <c r="GT842" s="41"/>
      <c r="GU842" s="41"/>
      <c r="GV842" s="41"/>
      <c r="GW842" s="41"/>
      <c r="GX842" s="41"/>
      <c r="GY842" s="41"/>
      <c r="GZ842" s="41"/>
      <c r="HA842" s="41"/>
      <c r="HB842" s="41"/>
      <c r="HC842" s="41"/>
      <c r="HD842" s="41"/>
      <c r="HE842" s="41"/>
      <c r="HF842" s="41"/>
      <c r="HG842" s="41"/>
      <c r="HH842" s="41"/>
      <c r="HI842" s="41"/>
      <c r="HJ842" s="41"/>
      <c r="HK842" s="41"/>
      <c r="HL842" s="41"/>
      <c r="HM842" s="41"/>
      <c r="HN842" s="41"/>
      <c r="HO842" s="41"/>
      <c r="HP842" s="41"/>
      <c r="HQ842" s="41"/>
      <c r="HR842" s="41"/>
      <c r="HS842" s="41"/>
      <c r="HT842" s="41"/>
      <c r="HU842" s="41"/>
      <c r="HV842" s="41"/>
      <c r="HW842" s="41"/>
      <c r="HX842" s="41"/>
      <c r="HY842" s="41"/>
      <c r="HZ842" s="41"/>
      <c r="IA842" s="41"/>
      <c r="IB842" s="41"/>
      <c r="IC842" s="41"/>
      <c r="ID842" s="41"/>
      <c r="IE842" s="41"/>
      <c r="IF842" s="41"/>
      <c r="IG842" s="41"/>
      <c r="IH842" s="41"/>
      <c r="II842" s="41"/>
      <c r="IJ842" s="41"/>
      <c r="IK842" s="41"/>
      <c r="IL842" s="41"/>
    </row>
    <row r="843" spans="1:246" s="3" customFormat="1" x14ac:dyDescent="0.2">
      <c r="A843" s="20">
        <v>3635</v>
      </c>
      <c r="B843" s="19" t="s">
        <v>25</v>
      </c>
      <c r="C843" s="18">
        <f>SUM(C844+C845)</f>
        <v>350000</v>
      </c>
      <c r="D843" s="18">
        <f>SUM(D844+D845)</f>
        <v>300000</v>
      </c>
      <c r="E843" s="715">
        <v>96800</v>
      </c>
      <c r="F843" s="206">
        <f>SUM(E844:E845)</f>
        <v>96800</v>
      </c>
      <c r="G843" s="120">
        <f t="shared" si="211"/>
        <v>27.657142857142858</v>
      </c>
      <c r="H843" s="121">
        <f t="shared" si="212"/>
        <v>32.266666666666666</v>
      </c>
      <c r="I843" s="121">
        <f t="shared" si="210"/>
        <v>26.116986833585148</v>
      </c>
      <c r="J843" s="14">
        <v>370640</v>
      </c>
      <c r="K843" s="41"/>
      <c r="L843" s="41"/>
      <c r="M843" s="41"/>
      <c r="N843" s="41"/>
      <c r="O843" s="41"/>
      <c r="P843" s="41"/>
      <c r="Q843" s="41"/>
      <c r="R843" s="41"/>
      <c r="S843" s="41"/>
      <c r="T843" s="41"/>
      <c r="U843" s="41"/>
      <c r="V843" s="41"/>
      <c r="W843" s="41"/>
      <c r="X843" s="41"/>
      <c r="Y843" s="41"/>
      <c r="Z843" s="41"/>
      <c r="AA843" s="41"/>
      <c r="AB843" s="41"/>
      <c r="AC843" s="41"/>
      <c r="AD843" s="41"/>
      <c r="AE843" s="41"/>
      <c r="AF843" s="41"/>
      <c r="AG843" s="41"/>
      <c r="AH843" s="41"/>
      <c r="AI843" s="41"/>
      <c r="AJ843" s="41"/>
      <c r="AK843" s="41"/>
      <c r="AL843" s="41"/>
      <c r="AM843" s="41"/>
      <c r="AN843" s="41"/>
      <c r="AO843" s="41"/>
      <c r="AP843" s="41"/>
      <c r="AQ843" s="41"/>
      <c r="AR843" s="41"/>
      <c r="AS843" s="41"/>
      <c r="AT843" s="41"/>
      <c r="AU843" s="41"/>
      <c r="AV843" s="41"/>
      <c r="AW843" s="41"/>
      <c r="AX843" s="41"/>
      <c r="AY843" s="41"/>
      <c r="AZ843" s="41"/>
      <c r="BA843" s="41"/>
      <c r="BB843" s="41"/>
      <c r="BC843" s="41"/>
      <c r="BD843" s="41"/>
      <c r="BE843" s="41"/>
      <c r="BF843" s="41"/>
      <c r="BG843" s="41"/>
      <c r="BH843" s="41"/>
      <c r="BI843" s="41"/>
      <c r="BJ843" s="41"/>
      <c r="BK843" s="41"/>
      <c r="BL843" s="41"/>
      <c r="BM843" s="41"/>
      <c r="BN843" s="41"/>
      <c r="BO843" s="41"/>
      <c r="BP843" s="41"/>
      <c r="BQ843" s="41"/>
      <c r="BR843" s="41"/>
      <c r="BS843" s="41"/>
      <c r="BT843" s="41"/>
      <c r="BU843" s="41"/>
      <c r="BV843" s="41"/>
      <c r="BW843" s="41"/>
      <c r="BX843" s="41"/>
      <c r="BY843" s="41"/>
      <c r="BZ843" s="41"/>
      <c r="CA843" s="41"/>
      <c r="CB843" s="41"/>
      <c r="CC843" s="41"/>
      <c r="CD843" s="41"/>
      <c r="CE843" s="41"/>
      <c r="CF843" s="41"/>
      <c r="CG843" s="41"/>
      <c r="CH843" s="41"/>
      <c r="CI843" s="41"/>
      <c r="CJ843" s="41"/>
      <c r="CK843" s="41"/>
      <c r="CL843" s="41"/>
      <c r="CM843" s="41"/>
      <c r="CN843" s="41"/>
      <c r="CO843" s="41"/>
      <c r="CP843" s="41"/>
      <c r="CQ843" s="41"/>
      <c r="CR843" s="41"/>
      <c r="CS843" s="41"/>
      <c r="CT843" s="41"/>
      <c r="CU843" s="41"/>
      <c r="CV843" s="41"/>
      <c r="CW843" s="41"/>
      <c r="CX843" s="41"/>
      <c r="CY843" s="41"/>
      <c r="CZ843" s="41"/>
      <c r="DA843" s="41"/>
      <c r="DB843" s="41"/>
      <c r="DC843" s="41"/>
      <c r="DD843" s="41"/>
      <c r="DE843" s="41"/>
      <c r="DF843" s="41"/>
      <c r="DG843" s="41"/>
      <c r="DH843" s="41"/>
      <c r="DI843" s="41"/>
      <c r="DJ843" s="41"/>
      <c r="DK843" s="41"/>
      <c r="DL843" s="41"/>
      <c r="DM843" s="41"/>
      <c r="DN843" s="41"/>
      <c r="DO843" s="41"/>
      <c r="DP843" s="41"/>
      <c r="DQ843" s="41"/>
      <c r="DR843" s="41"/>
      <c r="DS843" s="41"/>
      <c r="DT843" s="41"/>
      <c r="DU843" s="41"/>
      <c r="DV843" s="41"/>
      <c r="DW843" s="41"/>
      <c r="DX843" s="41"/>
      <c r="DY843" s="41"/>
      <c r="DZ843" s="41"/>
      <c r="EA843" s="41"/>
      <c r="EB843" s="41"/>
      <c r="EC843" s="41"/>
      <c r="ED843" s="41"/>
      <c r="EE843" s="41"/>
      <c r="EF843" s="41"/>
      <c r="EG843" s="41"/>
      <c r="EH843" s="41"/>
      <c r="EI843" s="41"/>
      <c r="EJ843" s="41"/>
      <c r="EK843" s="41"/>
      <c r="EL843" s="41"/>
      <c r="EM843" s="41"/>
      <c r="EN843" s="41"/>
      <c r="EO843" s="41"/>
      <c r="EP843" s="41"/>
      <c r="EQ843" s="41"/>
      <c r="ER843" s="41"/>
      <c r="ES843" s="41"/>
      <c r="ET843" s="41"/>
      <c r="EU843" s="41"/>
      <c r="EV843" s="41"/>
      <c r="EW843" s="41"/>
      <c r="EX843" s="41"/>
      <c r="EY843" s="41"/>
      <c r="EZ843" s="41"/>
      <c r="FA843" s="41"/>
      <c r="FB843" s="41"/>
      <c r="FC843" s="41"/>
      <c r="FD843" s="41"/>
      <c r="FE843" s="41"/>
      <c r="FF843" s="41"/>
      <c r="FG843" s="41"/>
      <c r="FH843" s="41"/>
      <c r="FI843" s="41"/>
      <c r="FJ843" s="41"/>
      <c r="FK843" s="41"/>
      <c r="FL843" s="41"/>
      <c r="FM843" s="41"/>
      <c r="FN843" s="41"/>
      <c r="FO843" s="41"/>
      <c r="FP843" s="41"/>
      <c r="FQ843" s="41"/>
      <c r="FR843" s="41"/>
      <c r="FS843" s="41"/>
      <c r="FT843" s="41"/>
      <c r="FU843" s="41"/>
      <c r="FV843" s="41"/>
      <c r="FW843" s="41"/>
      <c r="FX843" s="41"/>
      <c r="FY843" s="41"/>
      <c r="FZ843" s="41"/>
      <c r="GA843" s="41"/>
      <c r="GB843" s="41"/>
      <c r="GC843" s="41"/>
      <c r="GD843" s="41"/>
      <c r="GE843" s="41"/>
      <c r="GF843" s="41"/>
      <c r="GG843" s="41"/>
      <c r="GH843" s="41"/>
      <c r="GI843" s="41"/>
      <c r="GJ843" s="41"/>
      <c r="GK843" s="41"/>
      <c r="GL843" s="41"/>
      <c r="GM843" s="41"/>
      <c r="GN843" s="41"/>
      <c r="GO843" s="41"/>
      <c r="GP843" s="41"/>
      <c r="GQ843" s="41"/>
      <c r="GR843" s="41"/>
      <c r="GS843" s="41"/>
      <c r="GT843" s="41"/>
      <c r="GU843" s="41"/>
      <c r="GV843" s="41"/>
      <c r="GW843" s="41"/>
      <c r="GX843" s="41"/>
      <c r="GY843" s="41"/>
      <c r="GZ843" s="41"/>
      <c r="HA843" s="41"/>
      <c r="HB843" s="41"/>
      <c r="HC843" s="41"/>
      <c r="HD843" s="41"/>
      <c r="HE843" s="41"/>
      <c r="HF843" s="41"/>
      <c r="HG843" s="41"/>
      <c r="HH843" s="41"/>
      <c r="HI843" s="41"/>
      <c r="HJ843" s="41"/>
      <c r="HK843" s="41"/>
      <c r="HL843" s="41"/>
      <c r="HM843" s="41"/>
      <c r="HN843" s="41"/>
      <c r="HO843" s="41"/>
      <c r="HP843" s="41"/>
      <c r="HQ843" s="41"/>
      <c r="HR843" s="41"/>
      <c r="HS843" s="41"/>
      <c r="HT843" s="41"/>
      <c r="HU843" s="41"/>
      <c r="HV843" s="41"/>
      <c r="HW843" s="41"/>
      <c r="HX843" s="41"/>
      <c r="HY843" s="41"/>
      <c r="HZ843" s="41"/>
      <c r="IA843" s="41"/>
      <c r="IB843" s="41"/>
      <c r="IC843" s="41"/>
      <c r="ID843" s="41"/>
      <c r="IE843" s="41"/>
      <c r="IF843" s="41"/>
      <c r="IG843" s="41"/>
      <c r="IH843" s="41"/>
      <c r="II843" s="41"/>
      <c r="IJ843" s="41"/>
      <c r="IK843" s="41"/>
      <c r="IL843" s="41"/>
    </row>
    <row r="844" spans="1:246" s="3" customFormat="1" x14ac:dyDescent="0.2">
      <c r="A844" s="16"/>
      <c r="B844" s="15" t="s">
        <v>24</v>
      </c>
      <c r="C844" s="9">
        <v>50000</v>
      </c>
      <c r="D844" s="9">
        <f>50000</f>
        <v>50000</v>
      </c>
      <c r="E844" s="719">
        <v>0</v>
      </c>
      <c r="F844" s="496"/>
      <c r="G844" s="126">
        <f t="shared" si="211"/>
        <v>0</v>
      </c>
      <c r="H844" s="130">
        <f t="shared" si="212"/>
        <v>0</v>
      </c>
      <c r="I844" s="130">
        <v>0</v>
      </c>
      <c r="J844" s="6">
        <v>16940</v>
      </c>
      <c r="K844" s="41"/>
      <c r="L844" s="41"/>
      <c r="M844" s="41"/>
      <c r="N844" s="41"/>
      <c r="O844" s="41"/>
      <c r="P844" s="41"/>
      <c r="Q844" s="41"/>
      <c r="R844" s="41"/>
      <c r="S844" s="41"/>
      <c r="T844" s="41"/>
      <c r="U844" s="41"/>
      <c r="V844" s="41"/>
      <c r="W844" s="41"/>
      <c r="X844" s="41"/>
      <c r="Y844" s="41"/>
      <c r="Z844" s="41"/>
      <c r="AA844" s="41"/>
      <c r="AB844" s="41"/>
      <c r="AC844" s="41"/>
      <c r="AD844" s="41"/>
      <c r="AE844" s="41"/>
      <c r="AF844" s="41"/>
      <c r="AG844" s="41"/>
      <c r="AH844" s="41"/>
      <c r="AI844" s="41"/>
      <c r="AJ844" s="41"/>
      <c r="AK844" s="41"/>
      <c r="AL844" s="41"/>
      <c r="AM844" s="41"/>
      <c r="AN844" s="41"/>
      <c r="AO844" s="41"/>
      <c r="AP844" s="41"/>
      <c r="AQ844" s="41"/>
      <c r="AR844" s="41"/>
      <c r="AS844" s="41"/>
      <c r="AT844" s="41"/>
      <c r="AU844" s="41"/>
      <c r="AV844" s="41"/>
      <c r="AW844" s="41"/>
      <c r="AX844" s="41"/>
      <c r="AY844" s="41"/>
      <c r="AZ844" s="41"/>
      <c r="BA844" s="41"/>
      <c r="BB844" s="41"/>
      <c r="BC844" s="41"/>
      <c r="BD844" s="41"/>
      <c r="BE844" s="41"/>
      <c r="BF844" s="41"/>
      <c r="BG844" s="41"/>
      <c r="BH844" s="41"/>
      <c r="BI844" s="41"/>
      <c r="BJ844" s="41"/>
      <c r="BK844" s="41"/>
      <c r="BL844" s="41"/>
      <c r="BM844" s="41"/>
      <c r="BN844" s="41"/>
      <c r="BO844" s="41"/>
      <c r="BP844" s="41"/>
      <c r="BQ844" s="41"/>
      <c r="BR844" s="41"/>
      <c r="BS844" s="41"/>
      <c r="BT844" s="41"/>
      <c r="BU844" s="41"/>
      <c r="BV844" s="41"/>
      <c r="BW844" s="41"/>
      <c r="BX844" s="41"/>
      <c r="BY844" s="41"/>
      <c r="BZ844" s="41"/>
      <c r="CA844" s="41"/>
      <c r="CB844" s="41"/>
      <c r="CC844" s="41"/>
      <c r="CD844" s="41"/>
      <c r="CE844" s="41"/>
      <c r="CF844" s="41"/>
      <c r="CG844" s="41"/>
      <c r="CH844" s="41"/>
      <c r="CI844" s="41"/>
      <c r="CJ844" s="41"/>
      <c r="CK844" s="41"/>
      <c r="CL844" s="41"/>
      <c r="CM844" s="41"/>
      <c r="CN844" s="41"/>
      <c r="CO844" s="41"/>
      <c r="CP844" s="41"/>
      <c r="CQ844" s="41"/>
      <c r="CR844" s="41"/>
      <c r="CS844" s="41"/>
      <c r="CT844" s="41"/>
      <c r="CU844" s="41"/>
      <c r="CV844" s="41"/>
      <c r="CW844" s="41"/>
      <c r="CX844" s="41"/>
      <c r="CY844" s="41"/>
      <c r="CZ844" s="41"/>
      <c r="DA844" s="41"/>
      <c r="DB844" s="41"/>
      <c r="DC844" s="41"/>
      <c r="DD844" s="41"/>
      <c r="DE844" s="41"/>
      <c r="DF844" s="41"/>
      <c r="DG844" s="41"/>
      <c r="DH844" s="41"/>
      <c r="DI844" s="41"/>
      <c r="DJ844" s="41"/>
      <c r="DK844" s="41"/>
      <c r="DL844" s="41"/>
      <c r="DM844" s="41"/>
      <c r="DN844" s="41"/>
      <c r="DO844" s="41"/>
      <c r="DP844" s="41"/>
      <c r="DQ844" s="41"/>
      <c r="DR844" s="41"/>
      <c r="DS844" s="41"/>
      <c r="DT844" s="41"/>
      <c r="DU844" s="41"/>
      <c r="DV844" s="41"/>
      <c r="DW844" s="41"/>
      <c r="DX844" s="41"/>
      <c r="DY844" s="41"/>
      <c r="DZ844" s="41"/>
      <c r="EA844" s="41"/>
      <c r="EB844" s="41"/>
      <c r="EC844" s="41"/>
      <c r="ED844" s="41"/>
      <c r="EE844" s="41"/>
      <c r="EF844" s="41"/>
      <c r="EG844" s="41"/>
      <c r="EH844" s="41"/>
      <c r="EI844" s="41"/>
      <c r="EJ844" s="41"/>
      <c r="EK844" s="41"/>
      <c r="EL844" s="41"/>
      <c r="EM844" s="41"/>
      <c r="EN844" s="41"/>
      <c r="EO844" s="41"/>
      <c r="EP844" s="41"/>
      <c r="EQ844" s="41"/>
      <c r="ER844" s="41"/>
      <c r="ES844" s="41"/>
      <c r="ET844" s="41"/>
      <c r="EU844" s="41"/>
      <c r="EV844" s="41"/>
      <c r="EW844" s="41"/>
      <c r="EX844" s="41"/>
      <c r="EY844" s="41"/>
      <c r="EZ844" s="41"/>
      <c r="FA844" s="41"/>
      <c r="FB844" s="41"/>
      <c r="FC844" s="41"/>
      <c r="FD844" s="41"/>
      <c r="FE844" s="41"/>
      <c r="FF844" s="41"/>
      <c r="FG844" s="41"/>
      <c r="FH844" s="41"/>
      <c r="FI844" s="41"/>
      <c r="FJ844" s="41"/>
      <c r="FK844" s="41"/>
      <c r="FL844" s="41"/>
      <c r="FM844" s="41"/>
      <c r="FN844" s="41"/>
      <c r="FO844" s="41"/>
      <c r="FP844" s="41"/>
      <c r="FQ844" s="41"/>
      <c r="FR844" s="41"/>
      <c r="FS844" s="41"/>
      <c r="FT844" s="41"/>
      <c r="FU844" s="41"/>
      <c r="FV844" s="41"/>
      <c r="FW844" s="41"/>
      <c r="FX844" s="41"/>
      <c r="FY844" s="41"/>
      <c r="FZ844" s="41"/>
      <c r="GA844" s="41"/>
      <c r="GB844" s="41"/>
      <c r="GC844" s="41"/>
      <c r="GD844" s="41"/>
      <c r="GE844" s="41"/>
      <c r="GF844" s="41"/>
      <c r="GG844" s="41"/>
      <c r="GH844" s="41"/>
      <c r="GI844" s="41"/>
      <c r="GJ844" s="41"/>
      <c r="GK844" s="41"/>
      <c r="GL844" s="41"/>
      <c r="GM844" s="41"/>
      <c r="GN844" s="41"/>
      <c r="GO844" s="41"/>
      <c r="GP844" s="41"/>
      <c r="GQ844" s="41"/>
      <c r="GR844" s="41"/>
      <c r="GS844" s="41"/>
      <c r="GT844" s="41"/>
      <c r="GU844" s="41"/>
      <c r="GV844" s="41"/>
      <c r="GW844" s="41"/>
      <c r="GX844" s="41"/>
      <c r="GY844" s="41"/>
      <c r="GZ844" s="41"/>
      <c r="HA844" s="41"/>
      <c r="HB844" s="41"/>
      <c r="HC844" s="41"/>
      <c r="HD844" s="41"/>
      <c r="HE844" s="41"/>
      <c r="HF844" s="41"/>
      <c r="HG844" s="41"/>
      <c r="HH844" s="41"/>
      <c r="HI844" s="41"/>
      <c r="HJ844" s="41"/>
      <c r="HK844" s="41"/>
      <c r="HL844" s="41"/>
      <c r="HM844" s="41"/>
      <c r="HN844" s="41"/>
      <c r="HO844" s="41"/>
      <c r="HP844" s="41"/>
      <c r="HQ844" s="41"/>
      <c r="HR844" s="41"/>
      <c r="HS844" s="41"/>
      <c r="HT844" s="41"/>
      <c r="HU844" s="41"/>
      <c r="HV844" s="41"/>
      <c r="HW844" s="41"/>
      <c r="HX844" s="41"/>
      <c r="HY844" s="41"/>
      <c r="HZ844" s="41"/>
      <c r="IA844" s="41"/>
      <c r="IB844" s="41"/>
      <c r="IC844" s="41"/>
      <c r="ID844" s="41"/>
      <c r="IE844" s="41"/>
      <c r="IF844" s="41"/>
      <c r="IG844" s="41"/>
      <c r="IH844" s="41"/>
      <c r="II844" s="41"/>
      <c r="IJ844" s="41"/>
      <c r="IK844" s="41"/>
      <c r="IL844" s="41"/>
    </row>
    <row r="845" spans="1:246" s="3" customFormat="1" ht="13.5" thickBot="1" x14ac:dyDescent="0.25">
      <c r="A845" s="16"/>
      <c r="B845" s="15" t="s">
        <v>23</v>
      </c>
      <c r="C845" s="9">
        <v>300000</v>
      </c>
      <c r="D845" s="9">
        <f>300000-50000</f>
        <v>250000</v>
      </c>
      <c r="E845" s="719">
        <v>96800</v>
      </c>
      <c r="F845" s="496"/>
      <c r="G845" s="126">
        <f t="shared" si="211"/>
        <v>32.266666666666666</v>
      </c>
      <c r="H845" s="130">
        <f t="shared" si="212"/>
        <v>38.72</v>
      </c>
      <c r="I845" s="130">
        <v>0</v>
      </c>
      <c r="J845" s="6">
        <v>0</v>
      </c>
      <c r="K845" s="41"/>
      <c r="L845" s="41"/>
      <c r="M845" s="41"/>
      <c r="N845" s="41"/>
      <c r="O845" s="41"/>
      <c r="P845" s="41"/>
      <c r="Q845" s="41"/>
      <c r="R845" s="41"/>
      <c r="S845" s="41"/>
      <c r="T845" s="41"/>
      <c r="U845" s="41"/>
      <c r="V845" s="41"/>
      <c r="W845" s="41"/>
      <c r="X845" s="41"/>
      <c r="Y845" s="41"/>
      <c r="Z845" s="41"/>
      <c r="AA845" s="41"/>
      <c r="AB845" s="41"/>
      <c r="AC845" s="41"/>
      <c r="AD845" s="41"/>
      <c r="AE845" s="41"/>
      <c r="AF845" s="41"/>
      <c r="AG845" s="41"/>
      <c r="AH845" s="41"/>
      <c r="AI845" s="41"/>
      <c r="AJ845" s="41"/>
      <c r="AK845" s="41"/>
      <c r="AL845" s="41"/>
      <c r="AM845" s="41"/>
      <c r="AN845" s="41"/>
      <c r="AO845" s="41"/>
      <c r="AP845" s="41"/>
      <c r="AQ845" s="41"/>
      <c r="AR845" s="41"/>
      <c r="AS845" s="41"/>
      <c r="AT845" s="41"/>
      <c r="AU845" s="41"/>
      <c r="AV845" s="41"/>
      <c r="AW845" s="41"/>
      <c r="AX845" s="41"/>
      <c r="AY845" s="41"/>
      <c r="AZ845" s="41"/>
      <c r="BA845" s="41"/>
      <c r="BB845" s="41"/>
      <c r="BC845" s="41"/>
      <c r="BD845" s="41"/>
      <c r="BE845" s="41"/>
      <c r="BF845" s="41"/>
      <c r="BG845" s="41"/>
      <c r="BH845" s="41"/>
      <c r="BI845" s="41"/>
      <c r="BJ845" s="41"/>
      <c r="BK845" s="41"/>
      <c r="BL845" s="41"/>
      <c r="BM845" s="41"/>
      <c r="BN845" s="41"/>
      <c r="BO845" s="41"/>
      <c r="BP845" s="41"/>
      <c r="BQ845" s="41"/>
      <c r="BR845" s="41"/>
      <c r="BS845" s="41"/>
      <c r="BT845" s="41"/>
      <c r="BU845" s="41"/>
      <c r="BV845" s="41"/>
      <c r="BW845" s="41"/>
      <c r="BX845" s="41"/>
      <c r="BY845" s="41"/>
      <c r="BZ845" s="41"/>
      <c r="CA845" s="41"/>
      <c r="CB845" s="41"/>
      <c r="CC845" s="41"/>
      <c r="CD845" s="41"/>
      <c r="CE845" s="41"/>
      <c r="CF845" s="41"/>
      <c r="CG845" s="41"/>
      <c r="CH845" s="41"/>
      <c r="CI845" s="41"/>
      <c r="CJ845" s="41"/>
      <c r="CK845" s="41"/>
      <c r="CL845" s="41"/>
      <c r="CM845" s="41"/>
      <c r="CN845" s="41"/>
      <c r="CO845" s="41"/>
      <c r="CP845" s="41"/>
      <c r="CQ845" s="41"/>
      <c r="CR845" s="41"/>
      <c r="CS845" s="41"/>
      <c r="CT845" s="41"/>
      <c r="CU845" s="41"/>
      <c r="CV845" s="41"/>
      <c r="CW845" s="41"/>
      <c r="CX845" s="41"/>
      <c r="CY845" s="41"/>
      <c r="CZ845" s="41"/>
      <c r="DA845" s="41"/>
      <c r="DB845" s="41"/>
      <c r="DC845" s="41"/>
      <c r="DD845" s="41"/>
      <c r="DE845" s="41"/>
      <c r="DF845" s="41"/>
      <c r="DG845" s="41"/>
      <c r="DH845" s="41"/>
      <c r="DI845" s="41"/>
      <c r="DJ845" s="41"/>
      <c r="DK845" s="41"/>
      <c r="DL845" s="41"/>
      <c r="DM845" s="41"/>
      <c r="DN845" s="41"/>
      <c r="DO845" s="41"/>
      <c r="DP845" s="41"/>
      <c r="DQ845" s="41"/>
      <c r="DR845" s="41"/>
      <c r="DS845" s="41"/>
      <c r="DT845" s="41"/>
      <c r="DU845" s="41"/>
      <c r="DV845" s="41"/>
      <c r="DW845" s="41"/>
      <c r="DX845" s="41"/>
      <c r="DY845" s="41"/>
      <c r="DZ845" s="41"/>
      <c r="EA845" s="41"/>
      <c r="EB845" s="41"/>
      <c r="EC845" s="41"/>
      <c r="ED845" s="41"/>
      <c r="EE845" s="41"/>
      <c r="EF845" s="41"/>
      <c r="EG845" s="41"/>
      <c r="EH845" s="41"/>
      <c r="EI845" s="41"/>
      <c r="EJ845" s="41"/>
      <c r="EK845" s="41"/>
      <c r="EL845" s="41"/>
      <c r="EM845" s="41"/>
      <c r="EN845" s="41"/>
      <c r="EO845" s="41"/>
      <c r="EP845" s="41"/>
      <c r="EQ845" s="41"/>
      <c r="ER845" s="41"/>
      <c r="ES845" s="41"/>
      <c r="ET845" s="41"/>
      <c r="EU845" s="41"/>
      <c r="EV845" s="41"/>
      <c r="EW845" s="41"/>
      <c r="EX845" s="41"/>
      <c r="EY845" s="41"/>
      <c r="EZ845" s="41"/>
      <c r="FA845" s="41"/>
      <c r="FB845" s="41"/>
      <c r="FC845" s="41"/>
      <c r="FD845" s="41"/>
      <c r="FE845" s="41"/>
      <c r="FF845" s="41"/>
      <c r="FG845" s="41"/>
      <c r="FH845" s="41"/>
      <c r="FI845" s="41"/>
      <c r="FJ845" s="41"/>
      <c r="FK845" s="41"/>
      <c r="FL845" s="41"/>
      <c r="FM845" s="41"/>
      <c r="FN845" s="41"/>
      <c r="FO845" s="41"/>
      <c r="FP845" s="41"/>
      <c r="FQ845" s="41"/>
      <c r="FR845" s="41"/>
      <c r="FS845" s="41"/>
      <c r="FT845" s="41"/>
      <c r="FU845" s="41"/>
      <c r="FV845" s="41"/>
      <c r="FW845" s="41"/>
      <c r="FX845" s="41"/>
      <c r="FY845" s="41"/>
      <c r="FZ845" s="41"/>
      <c r="GA845" s="41"/>
      <c r="GB845" s="41"/>
      <c r="GC845" s="41"/>
      <c r="GD845" s="41"/>
      <c r="GE845" s="41"/>
      <c r="GF845" s="41"/>
      <c r="GG845" s="41"/>
      <c r="GH845" s="41"/>
      <c r="GI845" s="41"/>
      <c r="GJ845" s="41"/>
      <c r="GK845" s="41"/>
      <c r="GL845" s="41"/>
      <c r="GM845" s="41"/>
      <c r="GN845" s="41"/>
      <c r="GO845" s="41"/>
      <c r="GP845" s="41"/>
      <c r="GQ845" s="41"/>
      <c r="GR845" s="41"/>
      <c r="GS845" s="41"/>
      <c r="GT845" s="41"/>
      <c r="GU845" s="41"/>
      <c r="GV845" s="41"/>
      <c r="GW845" s="41"/>
      <c r="GX845" s="41"/>
      <c r="GY845" s="41"/>
      <c r="GZ845" s="41"/>
      <c r="HA845" s="41"/>
      <c r="HB845" s="41"/>
      <c r="HC845" s="41"/>
      <c r="HD845" s="41"/>
      <c r="HE845" s="41"/>
      <c r="HF845" s="41"/>
      <c r="HG845" s="41"/>
      <c r="HH845" s="41"/>
      <c r="HI845" s="41"/>
      <c r="HJ845" s="41"/>
      <c r="HK845" s="41"/>
      <c r="HL845" s="41"/>
      <c r="HM845" s="41"/>
      <c r="HN845" s="41"/>
      <c r="HO845" s="41"/>
      <c r="HP845" s="41"/>
      <c r="HQ845" s="41"/>
      <c r="HR845" s="41"/>
      <c r="HS845" s="41"/>
      <c r="HT845" s="41"/>
      <c r="HU845" s="41"/>
      <c r="HV845" s="41"/>
      <c r="HW845" s="41"/>
      <c r="HX845" s="41"/>
      <c r="HY845" s="41"/>
      <c r="HZ845" s="41"/>
      <c r="IA845" s="41"/>
      <c r="IB845" s="41"/>
      <c r="IC845" s="41"/>
      <c r="ID845" s="41"/>
      <c r="IE845" s="41"/>
      <c r="IF845" s="41"/>
      <c r="IG845" s="41"/>
      <c r="IH845" s="41"/>
      <c r="II845" s="41"/>
      <c r="IJ845" s="41"/>
      <c r="IK845" s="41"/>
      <c r="IL845" s="41"/>
    </row>
    <row r="846" spans="1:246" s="3" customFormat="1" ht="16.5" thickBot="1" x14ac:dyDescent="0.3">
      <c r="A846" s="45"/>
      <c r="B846" s="44" t="s">
        <v>22</v>
      </c>
      <c r="C846" s="43">
        <v>0</v>
      </c>
      <c r="D846" s="43">
        <v>0</v>
      </c>
      <c r="E846" s="479">
        <v>0</v>
      </c>
      <c r="F846" s="536"/>
      <c r="G846" s="479">
        <v>0</v>
      </c>
      <c r="H846" s="479">
        <v>0</v>
      </c>
      <c r="I846" s="479">
        <v>0</v>
      </c>
      <c r="J846" s="6">
        <v>0</v>
      </c>
      <c r="K846" s="41"/>
      <c r="L846" s="41"/>
      <c r="M846" s="41"/>
      <c r="N846" s="41"/>
      <c r="O846" s="41"/>
      <c r="P846" s="41"/>
      <c r="Q846" s="41"/>
      <c r="R846" s="41"/>
      <c r="S846" s="41"/>
      <c r="T846" s="41"/>
      <c r="U846" s="41"/>
      <c r="V846" s="41"/>
      <c r="W846" s="41"/>
      <c r="X846" s="41"/>
      <c r="Y846" s="41"/>
      <c r="Z846" s="41"/>
      <c r="AA846" s="41"/>
      <c r="AB846" s="41"/>
      <c r="AC846" s="41"/>
      <c r="AD846" s="41"/>
      <c r="AE846" s="41"/>
      <c r="AF846" s="41"/>
      <c r="AG846" s="41"/>
      <c r="AH846" s="41"/>
      <c r="AI846" s="41"/>
      <c r="AJ846" s="41"/>
      <c r="AK846" s="41"/>
      <c r="AL846" s="41"/>
      <c r="AM846" s="41"/>
      <c r="AN846" s="41"/>
      <c r="AO846" s="41"/>
      <c r="AP846" s="41"/>
      <c r="AQ846" s="41"/>
      <c r="AR846" s="41"/>
      <c r="AS846" s="41"/>
      <c r="AT846" s="41"/>
      <c r="AU846" s="41"/>
      <c r="AV846" s="41"/>
      <c r="AW846" s="41"/>
      <c r="AX846" s="41"/>
      <c r="AY846" s="41"/>
      <c r="AZ846" s="41"/>
      <c r="BA846" s="41"/>
      <c r="BB846" s="41"/>
      <c r="BC846" s="41"/>
      <c r="BD846" s="41"/>
      <c r="BE846" s="41"/>
      <c r="BF846" s="41"/>
      <c r="BG846" s="41"/>
      <c r="BH846" s="41"/>
      <c r="BI846" s="41"/>
      <c r="BJ846" s="41"/>
      <c r="BK846" s="41"/>
      <c r="BL846" s="41"/>
      <c r="BM846" s="41"/>
      <c r="BN846" s="41"/>
      <c r="BO846" s="41"/>
      <c r="BP846" s="41"/>
      <c r="BQ846" s="41"/>
      <c r="BR846" s="41"/>
      <c r="BS846" s="41"/>
      <c r="BT846" s="41"/>
      <c r="BU846" s="41"/>
      <c r="BV846" s="41"/>
      <c r="BW846" s="41"/>
      <c r="BX846" s="41"/>
      <c r="BY846" s="41"/>
      <c r="BZ846" s="41"/>
      <c r="CA846" s="41"/>
      <c r="CB846" s="41"/>
      <c r="CC846" s="41"/>
      <c r="CD846" s="41"/>
      <c r="CE846" s="41"/>
      <c r="CF846" s="41"/>
      <c r="CG846" s="41"/>
      <c r="CH846" s="41"/>
      <c r="CI846" s="41"/>
      <c r="CJ846" s="41"/>
      <c r="CK846" s="41"/>
      <c r="CL846" s="41"/>
      <c r="CM846" s="41"/>
      <c r="CN846" s="41"/>
      <c r="CO846" s="41"/>
      <c r="CP846" s="41"/>
      <c r="CQ846" s="41"/>
      <c r="CR846" s="41"/>
      <c r="CS846" s="41"/>
      <c r="CT846" s="41"/>
      <c r="CU846" s="41"/>
      <c r="CV846" s="41"/>
      <c r="CW846" s="41"/>
      <c r="CX846" s="41"/>
      <c r="CY846" s="41"/>
      <c r="CZ846" s="41"/>
      <c r="DA846" s="41"/>
      <c r="DB846" s="41"/>
      <c r="DC846" s="41"/>
      <c r="DD846" s="41"/>
      <c r="DE846" s="41"/>
      <c r="DF846" s="41"/>
      <c r="DG846" s="41"/>
      <c r="DH846" s="41"/>
      <c r="DI846" s="41"/>
      <c r="DJ846" s="41"/>
      <c r="DK846" s="41"/>
      <c r="DL846" s="41"/>
      <c r="DM846" s="41"/>
      <c r="DN846" s="41"/>
      <c r="DO846" s="41"/>
      <c r="DP846" s="41"/>
      <c r="DQ846" s="41"/>
      <c r="DR846" s="41"/>
      <c r="DS846" s="41"/>
      <c r="DT846" s="41"/>
      <c r="DU846" s="41"/>
      <c r="DV846" s="41"/>
      <c r="DW846" s="41"/>
      <c r="DX846" s="41"/>
      <c r="DY846" s="41"/>
      <c r="DZ846" s="41"/>
      <c r="EA846" s="41"/>
      <c r="EB846" s="41"/>
      <c r="EC846" s="41"/>
      <c r="ED846" s="41"/>
      <c r="EE846" s="41"/>
      <c r="EF846" s="41"/>
      <c r="EG846" s="41"/>
      <c r="EH846" s="41"/>
      <c r="EI846" s="41"/>
      <c r="EJ846" s="41"/>
      <c r="EK846" s="41"/>
      <c r="EL846" s="41"/>
      <c r="EM846" s="41"/>
      <c r="EN846" s="41"/>
      <c r="EO846" s="41"/>
      <c r="EP846" s="41"/>
      <c r="EQ846" s="41"/>
      <c r="ER846" s="41"/>
      <c r="ES846" s="41"/>
      <c r="ET846" s="41"/>
      <c r="EU846" s="41"/>
      <c r="EV846" s="41"/>
      <c r="EW846" s="41"/>
      <c r="EX846" s="41"/>
      <c r="EY846" s="41"/>
      <c r="EZ846" s="41"/>
      <c r="FA846" s="41"/>
      <c r="FB846" s="41"/>
      <c r="FC846" s="41"/>
      <c r="FD846" s="41"/>
      <c r="FE846" s="41"/>
      <c r="FF846" s="41"/>
      <c r="FG846" s="41"/>
      <c r="FH846" s="41"/>
      <c r="FI846" s="41"/>
      <c r="FJ846" s="41"/>
      <c r="FK846" s="41"/>
      <c r="FL846" s="41"/>
      <c r="FM846" s="41"/>
      <c r="FN846" s="41"/>
      <c r="FO846" s="41"/>
      <c r="FP846" s="41"/>
      <c r="FQ846" s="41"/>
      <c r="FR846" s="41"/>
      <c r="FS846" s="41"/>
      <c r="FT846" s="41"/>
      <c r="FU846" s="41"/>
      <c r="FV846" s="41"/>
      <c r="FW846" s="41"/>
      <c r="FX846" s="41"/>
      <c r="FY846" s="41"/>
      <c r="FZ846" s="41"/>
      <c r="GA846" s="41"/>
      <c r="GB846" s="41"/>
      <c r="GC846" s="41"/>
      <c r="GD846" s="41"/>
      <c r="GE846" s="41"/>
      <c r="GF846" s="41"/>
      <c r="GG846" s="41"/>
      <c r="GH846" s="41"/>
      <c r="GI846" s="41"/>
      <c r="GJ846" s="41"/>
      <c r="GK846" s="41"/>
      <c r="GL846" s="41"/>
      <c r="GM846" s="41"/>
      <c r="GN846" s="41"/>
      <c r="GO846" s="41"/>
      <c r="GP846" s="41"/>
      <c r="GQ846" s="41"/>
      <c r="GR846" s="41"/>
      <c r="GS846" s="41"/>
      <c r="GT846" s="41"/>
      <c r="GU846" s="41"/>
      <c r="GV846" s="41"/>
      <c r="GW846" s="41"/>
      <c r="GX846" s="41"/>
      <c r="GY846" s="41"/>
      <c r="GZ846" s="41"/>
      <c r="HA846" s="41"/>
      <c r="HB846" s="41"/>
      <c r="HC846" s="41"/>
      <c r="HD846" s="41"/>
      <c r="HE846" s="41"/>
      <c r="HF846" s="41"/>
      <c r="HG846" s="41"/>
      <c r="HH846" s="41"/>
      <c r="HI846" s="41"/>
      <c r="HJ846" s="41"/>
      <c r="HK846" s="41"/>
      <c r="HL846" s="41"/>
      <c r="HM846" s="41"/>
      <c r="HN846" s="41"/>
      <c r="HO846" s="41"/>
      <c r="HP846" s="41"/>
      <c r="HQ846" s="41"/>
      <c r="HR846" s="41"/>
      <c r="HS846" s="41"/>
      <c r="HT846" s="41"/>
      <c r="HU846" s="41"/>
      <c r="HV846" s="41"/>
      <c r="HW846" s="41"/>
      <c r="HX846" s="41"/>
      <c r="HY846" s="41"/>
      <c r="HZ846" s="41"/>
      <c r="IA846" s="41"/>
      <c r="IB846" s="41"/>
      <c r="IC846" s="41"/>
      <c r="ID846" s="41"/>
      <c r="IE846" s="41"/>
      <c r="IF846" s="41"/>
      <c r="IG846" s="41"/>
      <c r="IH846" s="41"/>
      <c r="II846" s="41"/>
      <c r="IJ846" s="41"/>
      <c r="IK846" s="41"/>
      <c r="IL846" s="41"/>
    </row>
    <row r="847" spans="1:246" s="3" customFormat="1" x14ac:dyDescent="0.2">
      <c r="A847" s="42">
        <v>3699</v>
      </c>
      <c r="B847" s="29" t="s">
        <v>21</v>
      </c>
      <c r="C847" s="24">
        <v>0</v>
      </c>
      <c r="D847" s="24">
        <v>0</v>
      </c>
      <c r="E847" s="527">
        <v>0</v>
      </c>
      <c r="F847" s="532"/>
      <c r="G847" s="120">
        <v>0</v>
      </c>
      <c r="H847" s="121">
        <v>0</v>
      </c>
      <c r="I847" s="121">
        <v>0</v>
      </c>
      <c r="J847" s="14">
        <v>0</v>
      </c>
      <c r="K847" s="41"/>
      <c r="L847" s="41"/>
      <c r="M847" s="41"/>
      <c r="N847" s="41"/>
      <c r="O847" s="41"/>
      <c r="P847" s="41"/>
      <c r="Q847" s="41"/>
      <c r="R847" s="41"/>
      <c r="S847" s="41"/>
      <c r="T847" s="41"/>
      <c r="U847" s="41"/>
      <c r="V847" s="41"/>
      <c r="W847" s="41"/>
      <c r="X847" s="41"/>
      <c r="Y847" s="41"/>
      <c r="Z847" s="41"/>
      <c r="AA847" s="41"/>
      <c r="AB847" s="41"/>
      <c r="AC847" s="41"/>
      <c r="AD847" s="41"/>
      <c r="AE847" s="41"/>
      <c r="AF847" s="41"/>
      <c r="AG847" s="41"/>
      <c r="AH847" s="41"/>
      <c r="AI847" s="41"/>
      <c r="AJ847" s="41"/>
      <c r="AK847" s="41"/>
      <c r="AL847" s="41"/>
      <c r="AM847" s="41"/>
      <c r="AN847" s="41"/>
      <c r="AO847" s="41"/>
      <c r="AP847" s="41"/>
      <c r="AQ847" s="41"/>
      <c r="AR847" s="41"/>
      <c r="AS847" s="41"/>
      <c r="AT847" s="41"/>
      <c r="AU847" s="41"/>
      <c r="AV847" s="41"/>
      <c r="AW847" s="41"/>
      <c r="AX847" s="41"/>
      <c r="AY847" s="41"/>
      <c r="AZ847" s="41"/>
      <c r="BA847" s="41"/>
      <c r="BB847" s="41"/>
      <c r="BC847" s="41"/>
      <c r="BD847" s="41"/>
      <c r="BE847" s="41"/>
      <c r="BF847" s="41"/>
      <c r="BG847" s="41"/>
      <c r="BH847" s="41"/>
      <c r="BI847" s="41"/>
      <c r="BJ847" s="41"/>
      <c r="BK847" s="41"/>
      <c r="BL847" s="41"/>
      <c r="BM847" s="41"/>
      <c r="BN847" s="41"/>
      <c r="BO847" s="41"/>
      <c r="BP847" s="41"/>
      <c r="BQ847" s="41"/>
      <c r="BR847" s="41"/>
      <c r="BS847" s="41"/>
      <c r="BT847" s="41"/>
      <c r="BU847" s="41"/>
      <c r="BV847" s="41"/>
      <c r="BW847" s="41"/>
      <c r="BX847" s="41"/>
      <c r="BY847" s="41"/>
      <c r="BZ847" s="41"/>
      <c r="CA847" s="41"/>
      <c r="CB847" s="41"/>
      <c r="CC847" s="41"/>
      <c r="CD847" s="41"/>
      <c r="CE847" s="41"/>
      <c r="CF847" s="41"/>
      <c r="CG847" s="41"/>
      <c r="CH847" s="41"/>
      <c r="CI847" s="41"/>
      <c r="CJ847" s="41"/>
      <c r="CK847" s="41"/>
      <c r="CL847" s="41"/>
      <c r="CM847" s="41"/>
      <c r="CN847" s="41"/>
      <c r="CO847" s="41"/>
      <c r="CP847" s="41"/>
      <c r="CQ847" s="41"/>
      <c r="CR847" s="41"/>
      <c r="CS847" s="41"/>
      <c r="CT847" s="41"/>
      <c r="CU847" s="41"/>
      <c r="CV847" s="41"/>
      <c r="CW847" s="41"/>
      <c r="CX847" s="41"/>
      <c r="CY847" s="41"/>
      <c r="CZ847" s="41"/>
      <c r="DA847" s="41"/>
      <c r="DB847" s="41"/>
      <c r="DC847" s="41"/>
      <c r="DD847" s="41"/>
      <c r="DE847" s="41"/>
      <c r="DF847" s="41"/>
      <c r="DG847" s="41"/>
      <c r="DH847" s="41"/>
      <c r="DI847" s="41"/>
      <c r="DJ847" s="41"/>
      <c r="DK847" s="41"/>
      <c r="DL847" s="41"/>
      <c r="DM847" s="41"/>
      <c r="DN847" s="41"/>
      <c r="DO847" s="41"/>
      <c r="DP847" s="41"/>
      <c r="DQ847" s="41"/>
      <c r="DR847" s="41"/>
      <c r="DS847" s="41"/>
      <c r="DT847" s="41"/>
      <c r="DU847" s="41"/>
      <c r="DV847" s="41"/>
      <c r="DW847" s="41"/>
      <c r="DX847" s="41"/>
      <c r="DY847" s="41"/>
      <c r="DZ847" s="41"/>
      <c r="EA847" s="41"/>
      <c r="EB847" s="41"/>
      <c r="EC847" s="41"/>
      <c r="ED847" s="41"/>
      <c r="EE847" s="41"/>
      <c r="EF847" s="41"/>
      <c r="EG847" s="41"/>
      <c r="EH847" s="41"/>
      <c r="EI847" s="41"/>
      <c r="EJ847" s="41"/>
      <c r="EK847" s="41"/>
      <c r="EL847" s="41"/>
      <c r="EM847" s="41"/>
      <c r="EN847" s="41"/>
      <c r="EO847" s="41"/>
      <c r="EP847" s="41"/>
      <c r="EQ847" s="41"/>
      <c r="ER847" s="41"/>
      <c r="ES847" s="41"/>
      <c r="ET847" s="41"/>
      <c r="EU847" s="41"/>
      <c r="EV847" s="41"/>
      <c r="EW847" s="41"/>
      <c r="EX847" s="41"/>
      <c r="EY847" s="41"/>
      <c r="EZ847" s="41"/>
      <c r="FA847" s="41"/>
      <c r="FB847" s="41"/>
      <c r="FC847" s="41"/>
      <c r="FD847" s="41"/>
      <c r="FE847" s="41"/>
      <c r="FF847" s="41"/>
      <c r="FG847" s="41"/>
      <c r="FH847" s="41"/>
      <c r="FI847" s="41"/>
      <c r="FJ847" s="41"/>
      <c r="FK847" s="41"/>
      <c r="FL847" s="41"/>
      <c r="FM847" s="41"/>
      <c r="FN847" s="41"/>
      <c r="FO847" s="41"/>
      <c r="FP847" s="41"/>
      <c r="FQ847" s="41"/>
      <c r="FR847" s="41"/>
      <c r="FS847" s="41"/>
      <c r="FT847" s="41"/>
      <c r="FU847" s="41"/>
      <c r="FV847" s="41"/>
      <c r="FW847" s="41"/>
      <c r="FX847" s="41"/>
      <c r="FY847" s="41"/>
      <c r="FZ847" s="41"/>
      <c r="GA847" s="41"/>
      <c r="GB847" s="41"/>
      <c r="GC847" s="41"/>
      <c r="GD847" s="41"/>
      <c r="GE847" s="41"/>
      <c r="GF847" s="41"/>
      <c r="GG847" s="41"/>
      <c r="GH847" s="41"/>
      <c r="GI847" s="41"/>
      <c r="GJ847" s="41"/>
      <c r="GK847" s="41"/>
      <c r="GL847" s="41"/>
      <c r="GM847" s="41"/>
      <c r="GN847" s="41"/>
      <c r="GO847" s="41"/>
      <c r="GP847" s="41"/>
      <c r="GQ847" s="41"/>
      <c r="GR847" s="41"/>
      <c r="GS847" s="41"/>
      <c r="GT847" s="41"/>
      <c r="GU847" s="41"/>
      <c r="GV847" s="41"/>
      <c r="GW847" s="41"/>
      <c r="GX847" s="41"/>
      <c r="GY847" s="41"/>
      <c r="GZ847" s="41"/>
      <c r="HA847" s="41"/>
      <c r="HB847" s="41"/>
      <c r="HC847" s="41"/>
      <c r="HD847" s="41"/>
      <c r="HE847" s="41"/>
      <c r="HF847" s="41"/>
      <c r="HG847" s="41"/>
      <c r="HH847" s="41"/>
      <c r="HI847" s="41"/>
      <c r="HJ847" s="41"/>
      <c r="HK847" s="41"/>
      <c r="HL847" s="41"/>
      <c r="HM847" s="41"/>
      <c r="HN847" s="41"/>
      <c r="HO847" s="41"/>
      <c r="HP847" s="41"/>
      <c r="HQ847" s="41"/>
      <c r="HR847" s="41"/>
      <c r="HS847" s="41"/>
      <c r="HT847" s="41"/>
      <c r="HU847" s="41"/>
      <c r="HV847" s="41"/>
      <c r="HW847" s="41"/>
      <c r="HX847" s="41"/>
      <c r="HY847" s="41"/>
      <c r="HZ847" s="41"/>
      <c r="IA847" s="41"/>
      <c r="IB847" s="41"/>
      <c r="IC847" s="41"/>
      <c r="ID847" s="41"/>
      <c r="IE847" s="41"/>
      <c r="IF847" s="41"/>
      <c r="IG847" s="41"/>
      <c r="IH847" s="41"/>
      <c r="II847" s="41"/>
      <c r="IJ847" s="41"/>
      <c r="IK847" s="41"/>
      <c r="IL847" s="41"/>
    </row>
    <row r="848" spans="1:246" ht="13.5" thickBot="1" x14ac:dyDescent="0.25">
      <c r="A848" s="40"/>
      <c r="B848" s="39"/>
      <c r="C848" s="11"/>
      <c r="D848" s="11"/>
      <c r="E848" s="517"/>
      <c r="F848" s="518"/>
      <c r="G848" s="517"/>
      <c r="H848" s="517"/>
      <c r="I848" s="517"/>
      <c r="J848" s="568"/>
      <c r="K848" s="38"/>
      <c r="L848" s="38"/>
      <c r="M848" s="38"/>
      <c r="N848" s="38"/>
      <c r="O848" s="38"/>
      <c r="P848" s="38"/>
      <c r="Q848" s="38"/>
      <c r="R848" s="38"/>
      <c r="S848" s="38"/>
      <c r="T848" s="38"/>
      <c r="U848" s="38"/>
      <c r="V848" s="38"/>
      <c r="W848" s="38"/>
      <c r="X848" s="38"/>
      <c r="Y848" s="38"/>
      <c r="Z848" s="38"/>
      <c r="AA848" s="38"/>
      <c r="AB848" s="38"/>
      <c r="AC848" s="38"/>
      <c r="AD848" s="38"/>
      <c r="AE848" s="38"/>
      <c r="AF848" s="38"/>
      <c r="AG848" s="38"/>
      <c r="AH848" s="38"/>
      <c r="AI848" s="38"/>
      <c r="AJ848" s="38"/>
      <c r="AK848" s="38"/>
      <c r="AL848" s="38"/>
      <c r="AM848" s="38"/>
      <c r="AN848" s="38"/>
      <c r="AO848" s="38"/>
      <c r="AP848" s="38"/>
      <c r="AQ848" s="38"/>
      <c r="AR848" s="38"/>
      <c r="AS848" s="38"/>
      <c r="AT848" s="38"/>
      <c r="AU848" s="38"/>
      <c r="AV848" s="38"/>
      <c r="AW848" s="38"/>
      <c r="AX848" s="38"/>
      <c r="AY848" s="38"/>
      <c r="AZ848" s="38"/>
      <c r="BA848" s="38"/>
      <c r="BB848" s="38"/>
      <c r="BC848" s="38"/>
      <c r="BD848" s="38"/>
      <c r="BE848" s="38"/>
      <c r="BF848" s="38"/>
      <c r="BG848" s="38"/>
      <c r="BH848" s="38"/>
      <c r="BI848" s="38"/>
      <c r="BJ848" s="38"/>
      <c r="BK848" s="38"/>
      <c r="BL848" s="38"/>
      <c r="BM848" s="38"/>
      <c r="BN848" s="38"/>
      <c r="BO848" s="38"/>
      <c r="BP848" s="38"/>
      <c r="BQ848" s="38"/>
      <c r="BR848" s="38"/>
      <c r="BS848" s="38"/>
      <c r="BT848" s="38"/>
      <c r="BU848" s="38"/>
      <c r="BV848" s="38"/>
      <c r="BW848" s="38"/>
      <c r="BX848" s="38"/>
      <c r="BY848" s="38"/>
      <c r="BZ848" s="38"/>
      <c r="CA848" s="38"/>
      <c r="CB848" s="38"/>
      <c r="CC848" s="38"/>
      <c r="CD848" s="38"/>
      <c r="CE848" s="38"/>
      <c r="CF848" s="38"/>
      <c r="CG848" s="38"/>
      <c r="CH848" s="38"/>
      <c r="CI848" s="38"/>
      <c r="CJ848" s="38"/>
      <c r="CK848" s="38"/>
      <c r="CL848" s="38"/>
      <c r="CM848" s="38"/>
      <c r="CN848" s="38"/>
      <c r="CO848" s="38"/>
      <c r="CP848" s="38"/>
      <c r="CQ848" s="38"/>
      <c r="CR848" s="38"/>
      <c r="CS848" s="38"/>
      <c r="CT848" s="38"/>
      <c r="CU848" s="38"/>
      <c r="CV848" s="38"/>
      <c r="CW848" s="38"/>
      <c r="CX848" s="38"/>
      <c r="CY848" s="38"/>
      <c r="CZ848" s="38"/>
      <c r="DA848" s="38"/>
      <c r="DB848" s="38"/>
      <c r="DC848" s="38"/>
      <c r="DD848" s="38"/>
      <c r="DE848" s="38"/>
      <c r="DF848" s="38"/>
      <c r="DG848" s="38"/>
      <c r="DH848" s="38"/>
      <c r="DI848" s="38"/>
      <c r="DJ848" s="38"/>
      <c r="DK848" s="38"/>
      <c r="DL848" s="38"/>
      <c r="DM848" s="38"/>
      <c r="DN848" s="38"/>
      <c r="DO848" s="38"/>
      <c r="DP848" s="38"/>
      <c r="DQ848" s="38"/>
      <c r="DR848" s="38"/>
      <c r="DS848" s="38"/>
      <c r="DT848" s="38"/>
      <c r="DU848" s="38"/>
      <c r="DV848" s="38"/>
      <c r="DW848" s="38"/>
      <c r="DX848" s="38"/>
      <c r="DY848" s="38"/>
      <c r="DZ848" s="38"/>
      <c r="EA848" s="38"/>
      <c r="EB848" s="38"/>
      <c r="EC848" s="38"/>
      <c r="ED848" s="38"/>
      <c r="EE848" s="38"/>
      <c r="EF848" s="38"/>
      <c r="EG848" s="38"/>
      <c r="EH848" s="38"/>
      <c r="EI848" s="38"/>
      <c r="EJ848" s="38"/>
      <c r="EK848" s="38"/>
      <c r="EL848" s="38"/>
      <c r="EM848" s="38"/>
      <c r="EN848" s="38"/>
      <c r="EO848" s="38"/>
      <c r="EP848" s="38"/>
      <c r="EQ848" s="38"/>
      <c r="ER848" s="38"/>
      <c r="ES848" s="38"/>
      <c r="ET848" s="38"/>
      <c r="EU848" s="38"/>
      <c r="EV848" s="38"/>
      <c r="EW848" s="38"/>
      <c r="EX848" s="38"/>
      <c r="EY848" s="38"/>
      <c r="EZ848" s="38"/>
      <c r="FA848" s="38"/>
      <c r="FB848" s="38"/>
      <c r="FC848" s="38"/>
      <c r="FD848" s="38"/>
      <c r="FE848" s="38"/>
      <c r="FF848" s="38"/>
      <c r="FG848" s="38"/>
      <c r="FH848" s="38"/>
      <c r="FI848" s="38"/>
      <c r="FJ848" s="38"/>
      <c r="FK848" s="38"/>
      <c r="FL848" s="38"/>
      <c r="FM848" s="38"/>
      <c r="FN848" s="38"/>
      <c r="FO848" s="38"/>
      <c r="FP848" s="38"/>
      <c r="FQ848" s="38"/>
      <c r="FR848" s="38"/>
      <c r="FS848" s="38"/>
      <c r="FT848" s="38"/>
      <c r="FU848" s="38"/>
      <c r="FV848" s="38"/>
      <c r="FW848" s="38"/>
      <c r="FX848" s="38"/>
      <c r="FY848" s="38"/>
      <c r="FZ848" s="38"/>
      <c r="GA848" s="38"/>
      <c r="GB848" s="38"/>
      <c r="GC848" s="38"/>
      <c r="GD848" s="38"/>
      <c r="GE848" s="38"/>
      <c r="GF848" s="38"/>
      <c r="GG848" s="38"/>
      <c r="GH848" s="38"/>
      <c r="GI848" s="38"/>
      <c r="GJ848" s="38"/>
      <c r="GK848" s="38"/>
      <c r="GL848" s="38"/>
      <c r="GM848" s="38"/>
      <c r="GN848" s="38"/>
      <c r="GO848" s="38"/>
      <c r="GP848" s="38"/>
      <c r="GQ848" s="38"/>
      <c r="GR848" s="38"/>
      <c r="GS848" s="38"/>
      <c r="GT848" s="38"/>
      <c r="GU848" s="38"/>
      <c r="GV848" s="38"/>
      <c r="GW848" s="38"/>
      <c r="GX848" s="38"/>
      <c r="GY848" s="38"/>
      <c r="GZ848" s="38"/>
      <c r="HA848" s="38"/>
      <c r="HB848" s="38"/>
      <c r="HC848" s="38"/>
      <c r="HD848" s="38"/>
      <c r="HE848" s="38"/>
      <c r="HF848" s="38"/>
      <c r="HG848" s="38"/>
      <c r="HH848" s="38"/>
      <c r="HI848" s="38"/>
      <c r="HJ848" s="38"/>
      <c r="HK848" s="38"/>
      <c r="HL848" s="38"/>
      <c r="HM848" s="38"/>
      <c r="HN848" s="38"/>
      <c r="HO848" s="38"/>
      <c r="HP848" s="38"/>
      <c r="HQ848" s="38"/>
      <c r="HR848" s="38"/>
      <c r="HS848" s="38"/>
      <c r="HT848" s="38"/>
      <c r="HU848" s="38"/>
      <c r="HV848" s="38"/>
      <c r="HW848" s="38"/>
      <c r="HX848" s="38"/>
      <c r="HY848" s="38"/>
      <c r="HZ848" s="38"/>
      <c r="IA848" s="38"/>
      <c r="IB848" s="38"/>
      <c r="IC848" s="38"/>
      <c r="ID848" s="38"/>
      <c r="IE848" s="38"/>
      <c r="IF848" s="38"/>
      <c r="IG848" s="38"/>
      <c r="IH848" s="38"/>
      <c r="II848" s="38"/>
      <c r="IJ848" s="38"/>
      <c r="IK848" s="38"/>
      <c r="IL848" s="38"/>
    </row>
    <row r="849" spans="1:11" s="17" customFormat="1" ht="21" thickBot="1" x14ac:dyDescent="0.35">
      <c r="A849" s="37"/>
      <c r="B849" s="36" t="s">
        <v>20</v>
      </c>
      <c r="C849" s="35">
        <f>SUM(C850:C854,C856:C859,C862,C871)</f>
        <v>36184308.620000005</v>
      </c>
      <c r="D849" s="35">
        <f>SUM(D850:D854,D856:D859,D862,D871)</f>
        <v>90428532.900000006</v>
      </c>
      <c r="E849" s="181">
        <v>39062466.810000002</v>
      </c>
      <c r="F849" s="707">
        <f>SUM(E850:E854,E856:E859,E862,E871)</f>
        <v>39062466.810000002</v>
      </c>
      <c r="G849" s="571">
        <f>E849/C849*100</f>
        <v>107.95416107082715</v>
      </c>
      <c r="H849" s="181">
        <f t="shared" ref="H849:H873" si="214">E849/D849*100</f>
        <v>43.197059110974472</v>
      </c>
      <c r="I849" s="181">
        <f t="shared" ref="I849:I871" si="215">E849/J849*100</f>
        <v>115.72959703009845</v>
      </c>
      <c r="J849" s="568">
        <v>33753221.140000001</v>
      </c>
    </row>
    <row r="850" spans="1:11" s="27" customFormat="1" ht="15.75" x14ac:dyDescent="0.2">
      <c r="A850" s="34" t="s">
        <v>787</v>
      </c>
      <c r="B850" s="33" t="s">
        <v>784</v>
      </c>
      <c r="C850" s="24">
        <v>10000</v>
      </c>
      <c r="D850" s="24">
        <v>10000</v>
      </c>
      <c r="E850" s="527">
        <v>10000</v>
      </c>
      <c r="F850" s="528">
        <f>E849-F849</f>
        <v>0</v>
      </c>
      <c r="G850" s="120">
        <f t="shared" ref="G850:G873" si="216">E850/C850*100</f>
        <v>100</v>
      </c>
      <c r="H850" s="121">
        <f t="shared" si="214"/>
        <v>100</v>
      </c>
      <c r="I850" s="121">
        <f t="shared" si="215"/>
        <v>20</v>
      </c>
      <c r="J850" s="568">
        <v>50000</v>
      </c>
    </row>
    <row r="851" spans="1:11" s="27" customFormat="1" ht="48.75" x14ac:dyDescent="0.2">
      <c r="A851" s="728" t="s">
        <v>974</v>
      </c>
      <c r="B851" s="32" t="s">
        <v>973</v>
      </c>
      <c r="C851" s="24">
        <f>6808.62+242500</f>
        <v>249308.62</v>
      </c>
      <c r="D851" s="24">
        <f>6808.62+242500</f>
        <v>249308.62</v>
      </c>
      <c r="E851" s="120">
        <v>247964.34</v>
      </c>
      <c r="F851" s="532"/>
      <c r="G851" s="120">
        <f t="shared" si="216"/>
        <v>99.460796822829465</v>
      </c>
      <c r="H851" s="121">
        <f t="shared" si="214"/>
        <v>99.460796822829465</v>
      </c>
      <c r="I851" s="121">
        <f t="shared" si="215"/>
        <v>97.617422302678932</v>
      </c>
      <c r="J851" s="574">
        <v>254016.48</v>
      </c>
    </row>
    <row r="852" spans="1:11" s="3" customFormat="1" ht="12.75" customHeight="1" x14ac:dyDescent="0.3">
      <c r="A852" s="20">
        <v>3111</v>
      </c>
      <c r="B852" s="19" t="s">
        <v>880</v>
      </c>
      <c r="C852" s="24">
        <v>0</v>
      </c>
      <c r="D852" s="24">
        <v>11654.14</v>
      </c>
      <c r="E852" s="527">
        <v>11654.14</v>
      </c>
      <c r="F852" s="532"/>
      <c r="G852" s="120">
        <v>0</v>
      </c>
      <c r="H852" s="121">
        <f t="shared" ref="H852" si="217">E852/D852*100</f>
        <v>100</v>
      </c>
      <c r="I852" s="121">
        <f t="shared" ref="I852" si="218">E852/J852*100</f>
        <v>42.477795467534435</v>
      </c>
      <c r="J852" s="568">
        <v>27435.84</v>
      </c>
      <c r="K852" s="31"/>
    </row>
    <row r="853" spans="1:11" s="3" customFormat="1" ht="12.75" customHeight="1" x14ac:dyDescent="0.3">
      <c r="A853" s="20">
        <v>3634</v>
      </c>
      <c r="B853" s="19" t="s">
        <v>15</v>
      </c>
      <c r="C853" s="24">
        <v>8000000</v>
      </c>
      <c r="D853" s="24">
        <f>8000000-131390</f>
        <v>7868610</v>
      </c>
      <c r="E853" s="527">
        <v>7868610</v>
      </c>
      <c r="F853" s="532"/>
      <c r="G853" s="120">
        <f t="shared" si="216"/>
        <v>98.357624999999999</v>
      </c>
      <c r="H853" s="121">
        <f t="shared" si="214"/>
        <v>100</v>
      </c>
      <c r="I853" s="121">
        <f t="shared" si="215"/>
        <v>102.1407524936417</v>
      </c>
      <c r="J853" s="574">
        <v>7703693</v>
      </c>
      <c r="K853" s="21"/>
    </row>
    <row r="854" spans="1:11" s="27" customFormat="1" ht="12.75" customHeight="1" x14ac:dyDescent="0.2">
      <c r="A854" s="30">
        <v>3639</v>
      </c>
      <c r="B854" s="29" t="s">
        <v>14</v>
      </c>
      <c r="C854" s="24">
        <f xml:space="preserve"> C855</f>
        <v>150000</v>
      </c>
      <c r="D854" s="24">
        <f xml:space="preserve"> D855</f>
        <v>373508</v>
      </c>
      <c r="E854" s="527">
        <v>287694</v>
      </c>
      <c r="F854" s="532"/>
      <c r="G854" s="120">
        <f t="shared" si="216"/>
        <v>191.79600000000002</v>
      </c>
      <c r="H854" s="121">
        <f t="shared" si="214"/>
        <v>77.024856227979058</v>
      </c>
      <c r="I854" s="121">
        <f t="shared" si="215"/>
        <v>495.14482901055021</v>
      </c>
      <c r="J854" s="574">
        <v>58103</v>
      </c>
    </row>
    <row r="855" spans="1:11" s="27" customFormat="1" ht="12.75" customHeight="1" x14ac:dyDescent="0.2">
      <c r="A855" s="20"/>
      <c r="B855" s="28" t="s">
        <v>13</v>
      </c>
      <c r="C855" s="9">
        <v>150000</v>
      </c>
      <c r="D855" s="9">
        <f>150000+133612+89896</f>
        <v>373508</v>
      </c>
      <c r="E855" s="528">
        <v>287694</v>
      </c>
      <c r="F855" s="532"/>
      <c r="G855" s="126">
        <f t="shared" si="216"/>
        <v>191.79600000000002</v>
      </c>
      <c r="H855" s="130">
        <f t="shared" si="214"/>
        <v>77.024856227979058</v>
      </c>
      <c r="I855" s="130">
        <f t="shared" si="215"/>
        <v>495.14482901055021</v>
      </c>
      <c r="J855" s="568">
        <v>58103</v>
      </c>
    </row>
    <row r="856" spans="1:11" ht="25.5" x14ac:dyDescent="0.2">
      <c r="A856" s="20">
        <v>5269</v>
      </c>
      <c r="B856" s="741" t="s">
        <v>984</v>
      </c>
      <c r="C856" s="24">
        <v>0</v>
      </c>
      <c r="D856" s="24">
        <v>140000</v>
      </c>
      <c r="E856" s="120">
        <v>140000</v>
      </c>
      <c r="F856" s="532"/>
      <c r="G856" s="120">
        <v>0</v>
      </c>
      <c r="H856" s="121">
        <f t="shared" ref="H856" si="219">E856/D856*100</f>
        <v>100</v>
      </c>
      <c r="I856" s="121">
        <v>0</v>
      </c>
      <c r="J856" s="568">
        <v>0</v>
      </c>
    </row>
    <row r="857" spans="1:11" x14ac:dyDescent="0.2">
      <c r="A857" s="20">
        <v>6171</v>
      </c>
      <c r="B857" s="26" t="s">
        <v>12</v>
      </c>
      <c r="C857" s="24">
        <v>150000</v>
      </c>
      <c r="D857" s="24">
        <v>150000</v>
      </c>
      <c r="E857" s="527">
        <v>61472</v>
      </c>
      <c r="F857" s="532"/>
      <c r="G857" s="120">
        <f t="shared" si="216"/>
        <v>40.981333333333332</v>
      </c>
      <c r="H857" s="121">
        <f t="shared" si="214"/>
        <v>40.981333333333332</v>
      </c>
      <c r="I857" s="121">
        <f t="shared" si="215"/>
        <v>65.720853156572403</v>
      </c>
      <c r="J857" s="568">
        <v>93535</v>
      </c>
    </row>
    <row r="858" spans="1:11" x14ac:dyDescent="0.2">
      <c r="A858" s="20">
        <v>6310</v>
      </c>
      <c r="B858" s="19" t="s">
        <v>11</v>
      </c>
      <c r="C858" s="24">
        <v>320000</v>
      </c>
      <c r="D858" s="24">
        <f>320000+53917+50000</f>
        <v>423917</v>
      </c>
      <c r="E858" s="527">
        <v>356523.32</v>
      </c>
      <c r="F858" s="532"/>
      <c r="G858" s="120">
        <f t="shared" si="216"/>
        <v>111.4135375</v>
      </c>
      <c r="H858" s="121">
        <f t="shared" si="214"/>
        <v>84.102152072221685</v>
      </c>
      <c r="I858" s="121">
        <f t="shared" si="215"/>
        <v>108.72266512840511</v>
      </c>
      <c r="J858" s="568">
        <v>327919.96000000002</v>
      </c>
    </row>
    <row r="859" spans="1:11" x14ac:dyDescent="0.2">
      <c r="A859" s="20">
        <v>6399</v>
      </c>
      <c r="B859" s="19" t="s">
        <v>10</v>
      </c>
      <c r="C859" s="18">
        <f>SUM(C860:C861)</f>
        <v>26000000</v>
      </c>
      <c r="D859" s="18">
        <f>SUM(D860:D861)</f>
        <v>29430127</v>
      </c>
      <c r="E859" s="527">
        <v>29430127</v>
      </c>
      <c r="F859" s="528">
        <f>SUM(E860:E861)</f>
        <v>29430127</v>
      </c>
      <c r="G859" s="120">
        <f t="shared" si="216"/>
        <v>113.19279615384616</v>
      </c>
      <c r="H859" s="121">
        <f t="shared" si="214"/>
        <v>100</v>
      </c>
      <c r="I859" s="121">
        <f t="shared" si="215"/>
        <v>121.30135805413842</v>
      </c>
      <c r="J859" s="568">
        <v>24261993</v>
      </c>
    </row>
    <row r="860" spans="1:11" x14ac:dyDescent="0.2">
      <c r="A860" s="16"/>
      <c r="B860" s="15" t="s">
        <v>9</v>
      </c>
      <c r="C860" s="10">
        <v>23000000</v>
      </c>
      <c r="D860" s="10">
        <f>23000000-1962450+(1962450-1962250)</f>
        <v>21037750</v>
      </c>
      <c r="E860" s="528">
        <v>21037750</v>
      </c>
      <c r="F860" s="532"/>
      <c r="G860" s="126">
        <f t="shared" si="216"/>
        <v>91.468478260869574</v>
      </c>
      <c r="H860" s="130">
        <f t="shared" si="214"/>
        <v>100</v>
      </c>
      <c r="I860" s="130">
        <f t="shared" si="215"/>
        <v>95.557204870849986</v>
      </c>
      <c r="J860" s="568">
        <v>22015870</v>
      </c>
    </row>
    <row r="861" spans="1:11" x14ac:dyDescent="0.2">
      <c r="A861" s="16"/>
      <c r="B861" s="15" t="s">
        <v>8</v>
      </c>
      <c r="C861" s="9">
        <v>3000000</v>
      </c>
      <c r="D861" s="9">
        <f>3000000+7000000-1607623</f>
        <v>8392377</v>
      </c>
      <c r="E861" s="528">
        <v>8392377</v>
      </c>
      <c r="F861" s="532"/>
      <c r="G861" s="126">
        <f t="shared" si="216"/>
        <v>279.74590000000001</v>
      </c>
      <c r="H861" s="130">
        <f t="shared" si="214"/>
        <v>100</v>
      </c>
      <c r="I861" s="130">
        <f t="shared" si="215"/>
        <v>373.63835373218654</v>
      </c>
      <c r="J861" s="568">
        <v>2246123</v>
      </c>
    </row>
    <row r="862" spans="1:11" s="3" customFormat="1" ht="12.75" customHeight="1" x14ac:dyDescent="0.3">
      <c r="A862" s="20">
        <v>6402</v>
      </c>
      <c r="B862" s="19" t="s">
        <v>7</v>
      </c>
      <c r="C862" s="18">
        <f>SUM(C863:C870)</f>
        <v>0</v>
      </c>
      <c r="D862" s="18">
        <f>SUM(D863:D870)</f>
        <v>435170.49</v>
      </c>
      <c r="E862" s="527">
        <v>435170.49</v>
      </c>
      <c r="F862" s="528">
        <f>SUM(E863:E870)</f>
        <v>435170.49000000005</v>
      </c>
      <c r="G862" s="120">
        <v>0</v>
      </c>
      <c r="H862" s="121">
        <f t="shared" si="214"/>
        <v>100</v>
      </c>
      <c r="I862" s="121">
        <f t="shared" si="215"/>
        <v>172.39935643773424</v>
      </c>
      <c r="J862" s="568">
        <v>252420.02</v>
      </c>
      <c r="K862" s="21"/>
    </row>
    <row r="863" spans="1:11" s="2" customFormat="1" ht="12.75" customHeight="1" x14ac:dyDescent="0.3">
      <c r="A863" s="23"/>
      <c r="B863" s="743" t="s">
        <v>1001</v>
      </c>
      <c r="C863" s="9">
        <v>0</v>
      </c>
      <c r="D863" s="9">
        <f>(12131.44+68744.81)</f>
        <v>80876.25</v>
      </c>
      <c r="E863" s="528">
        <v>80876.25</v>
      </c>
      <c r="F863" s="532"/>
      <c r="G863" s="126">
        <v>0</v>
      </c>
      <c r="H863" s="130">
        <f>E863/D863*100</f>
        <v>100</v>
      </c>
      <c r="I863" s="130">
        <f>E863/J863*100</f>
        <v>96.1696931559391</v>
      </c>
      <c r="J863" s="14">
        <v>84097.44</v>
      </c>
      <c r="K863" s="742"/>
    </row>
    <row r="864" spans="1:11" s="2" customFormat="1" ht="12.75" customHeight="1" x14ac:dyDescent="0.3">
      <c r="A864" s="23"/>
      <c r="B864" s="743" t="s">
        <v>1000</v>
      </c>
      <c r="C864" s="9">
        <v>0</v>
      </c>
      <c r="D864" s="9">
        <f>(22324.68+126506.52)</f>
        <v>148831.20000000001</v>
      </c>
      <c r="E864" s="528">
        <v>148831.20000000001</v>
      </c>
      <c r="F864" s="532"/>
      <c r="G864" s="126">
        <v>0</v>
      </c>
      <c r="H864" s="130">
        <f>E864/D864*100</f>
        <v>100</v>
      </c>
      <c r="I864" s="130">
        <f>E864/J864*100</f>
        <v>202.22564629344291</v>
      </c>
      <c r="J864" s="14">
        <v>73596.600000000006</v>
      </c>
      <c r="K864" s="742"/>
    </row>
    <row r="865" spans="1:11" s="2" customFormat="1" ht="12.75" customHeight="1" x14ac:dyDescent="0.3">
      <c r="A865" s="23"/>
      <c r="B865" s="743" t="s">
        <v>1002</v>
      </c>
      <c r="C865" s="9">
        <v>0</v>
      </c>
      <c r="D865" s="9">
        <f>(7536.06+42704.34)</f>
        <v>50240.399999999994</v>
      </c>
      <c r="E865" s="528">
        <v>50240.4</v>
      </c>
      <c r="F865" s="532"/>
      <c r="G865" s="126">
        <v>0</v>
      </c>
      <c r="H865" s="130">
        <f>E865/D865*100</f>
        <v>100.00000000000003</v>
      </c>
      <c r="I865" s="130">
        <f>E865/J865*100</f>
        <v>147.18838439768672</v>
      </c>
      <c r="J865" s="14">
        <v>34133.4</v>
      </c>
      <c r="K865" s="742"/>
    </row>
    <row r="866" spans="1:11" s="2" customFormat="1" ht="12.75" customHeight="1" x14ac:dyDescent="0.3">
      <c r="A866" s="23"/>
      <c r="B866" s="278" t="s">
        <v>1029</v>
      </c>
      <c r="C866" s="9">
        <v>0</v>
      </c>
      <c r="D866" s="9">
        <f>(452.24+2562.76)</f>
        <v>3015</v>
      </c>
      <c r="E866" s="528">
        <v>3015</v>
      </c>
      <c r="F866" s="532"/>
      <c r="G866" s="126">
        <v>0</v>
      </c>
      <c r="H866" s="130">
        <f t="shared" ref="H866:H867" si="220">E866/D866*100</f>
        <v>100</v>
      </c>
      <c r="I866" s="130">
        <v>0</v>
      </c>
      <c r="J866" s="568">
        <v>0</v>
      </c>
      <c r="K866" s="21"/>
    </row>
    <row r="867" spans="1:11" s="2" customFormat="1" ht="12.75" customHeight="1" x14ac:dyDescent="0.3">
      <c r="A867" s="23"/>
      <c r="B867" s="278" t="s">
        <v>1024</v>
      </c>
      <c r="C867" s="9">
        <v>0</v>
      </c>
      <c r="D867" s="9">
        <f>(14375.24+2536.76)</f>
        <v>16912</v>
      </c>
      <c r="E867" s="528">
        <v>16912</v>
      </c>
      <c r="F867" s="532"/>
      <c r="G867" s="126">
        <v>0</v>
      </c>
      <c r="H867" s="130">
        <f t="shared" si="220"/>
        <v>100</v>
      </c>
      <c r="I867" s="130">
        <f t="shared" ref="I867" si="221">E867/J867*100</f>
        <v>301.62297128589262</v>
      </c>
      <c r="J867" s="568">
        <v>5607</v>
      </c>
      <c r="K867" s="21"/>
    </row>
    <row r="868" spans="1:11" s="2" customFormat="1" ht="12.75" customHeight="1" x14ac:dyDescent="0.3">
      <c r="A868" s="23"/>
      <c r="B868" s="278" t="s">
        <v>1030</v>
      </c>
      <c r="C868" s="9">
        <v>0</v>
      </c>
      <c r="D868" s="9">
        <f>(17311.2+98096.8)</f>
        <v>115408</v>
      </c>
      <c r="E868" s="528">
        <v>115408</v>
      </c>
      <c r="F868" s="532"/>
      <c r="G868" s="126">
        <v>0</v>
      </c>
      <c r="H868" s="130">
        <f t="shared" si="214"/>
        <v>100</v>
      </c>
      <c r="I868" s="130">
        <v>0</v>
      </c>
      <c r="J868" s="568">
        <v>0</v>
      </c>
      <c r="K868" s="21"/>
    </row>
    <row r="869" spans="1:11" s="2" customFormat="1" ht="12.75" customHeight="1" x14ac:dyDescent="0.3">
      <c r="A869" s="23"/>
      <c r="B869" s="22" t="s">
        <v>1088</v>
      </c>
      <c r="C869" s="9">
        <v>0</v>
      </c>
      <c r="D869" s="9">
        <v>5719</v>
      </c>
      <c r="E869" s="528">
        <v>5719</v>
      </c>
      <c r="F869" s="532"/>
      <c r="G869" s="126">
        <v>0</v>
      </c>
      <c r="H869" s="130">
        <f t="shared" si="214"/>
        <v>100</v>
      </c>
      <c r="I869" s="130">
        <v>0</v>
      </c>
      <c r="J869" s="568">
        <v>0</v>
      </c>
      <c r="K869" s="21"/>
    </row>
    <row r="870" spans="1:11" s="2" customFormat="1" ht="12.75" customHeight="1" x14ac:dyDescent="0.3">
      <c r="A870" s="23"/>
      <c r="B870" s="22" t="s">
        <v>1089</v>
      </c>
      <c r="C870" s="9">
        <v>0</v>
      </c>
      <c r="D870" s="9">
        <v>14168.64</v>
      </c>
      <c r="E870" s="528">
        <v>14168.64</v>
      </c>
      <c r="F870" s="532"/>
      <c r="G870" s="126">
        <v>0</v>
      </c>
      <c r="H870" s="130">
        <f t="shared" si="214"/>
        <v>100</v>
      </c>
      <c r="I870" s="130">
        <v>0</v>
      </c>
      <c r="J870" s="568">
        <v>0</v>
      </c>
      <c r="K870" s="21"/>
    </row>
    <row r="871" spans="1:11" s="17" customFormat="1" ht="15.75" x14ac:dyDescent="0.25">
      <c r="A871" s="20">
        <v>6409</v>
      </c>
      <c r="B871" s="19" t="s">
        <v>3</v>
      </c>
      <c r="C871" s="18">
        <f>SUM(C872:C874)</f>
        <v>1305000</v>
      </c>
      <c r="D871" s="18">
        <f>SUM(D872:D874)</f>
        <v>51336237.650000013</v>
      </c>
      <c r="E871" s="715">
        <v>213251.52</v>
      </c>
      <c r="F871" s="206">
        <f>SUM(E872:E874)</f>
        <v>213251.52000000002</v>
      </c>
      <c r="G871" s="120">
        <f t="shared" si="216"/>
        <v>16.341112643678159</v>
      </c>
      <c r="H871" s="121">
        <f t="shared" si="214"/>
        <v>0.41540153654014406</v>
      </c>
      <c r="I871" s="715">
        <f t="shared" si="215"/>
        <v>97.550509303804915</v>
      </c>
      <c r="J871" s="568">
        <v>218606.26</v>
      </c>
    </row>
    <row r="872" spans="1:11" s="3" customFormat="1" x14ac:dyDescent="0.2">
      <c r="A872" s="16"/>
      <c r="B872" s="15" t="s">
        <v>2</v>
      </c>
      <c r="C872" s="9">
        <v>1000000</v>
      </c>
      <c r="D872" s="9">
        <f>1000000+1037625.27+800-5719+2888353.24-133544.53+240528.48-263145.58+51405.97-133612-74168.64+2168620-500000-79385-267145-213939-2000000+(-100000-100000)+(-50000-50000)+1380+84689.93+1267+150000-500000+(2000000+1000000+300000)+8000000+1026933.11+167860+1785909.91-140000+186960+320000+65339.83+4013693.68+244970.18-1999529.39+(-2810000+1679963+1500000+12500000+50000+80000)+(-7122194+1325016.84)-100000-87530+499000+397841.81+89658.3+25286350+1496251.56+1681+1129135.83+411753.45-89896-15000000+766001.8+219366.52-3905942.92+63744-272169.76+208529+2136350.91+644666.09+4672567.33+50959.71+9406511.28+ (150000+70000+100000+100000+11240+360000+8530260+393000+386000+100000+669130)+(-766001.8+695005.27)-80000-30000+222+(3+1120000)+1000000+(1200000+422772.3)+(600000+70996.53)+971.25+3600+(-200000-1000000-37709.65+1559529.04-5500000+163593.94+407279.26-6000000+26459.9)+31689-8814047.7+(14887.1-3600)</f>
        <v>51109043.650000013</v>
      </c>
      <c r="E872" s="528">
        <v>0</v>
      </c>
      <c r="F872" s="532"/>
      <c r="G872" s="126">
        <f t="shared" si="216"/>
        <v>0</v>
      </c>
      <c r="H872" s="130">
        <f t="shared" si="214"/>
        <v>0</v>
      </c>
      <c r="I872" s="130">
        <v>0</v>
      </c>
      <c r="J872" s="568">
        <v>0</v>
      </c>
    </row>
    <row r="873" spans="1:11" s="3" customFormat="1" ht="36.75" x14ac:dyDescent="0.2">
      <c r="A873" s="724"/>
      <c r="B873" s="725" t="s">
        <v>1</v>
      </c>
      <c r="C873" s="46">
        <f>(5+80+50+80+30+5+60)*1000-5000</f>
        <v>305000</v>
      </c>
      <c r="D873" s="46">
        <f>(5+80+50+80+30+5+60)*1000-5000-80000+2194</f>
        <v>227194</v>
      </c>
      <c r="E873" s="151">
        <f>77995.52+86062+49194</f>
        <v>213251.52000000002</v>
      </c>
      <c r="F873" s="668"/>
      <c r="G873" s="151">
        <f t="shared" si="216"/>
        <v>69.918531147540989</v>
      </c>
      <c r="H873" s="117">
        <f t="shared" si="214"/>
        <v>93.863183006593488</v>
      </c>
      <c r="I873" s="117">
        <f t="shared" ref="I873" si="222">E873/J873*100</f>
        <v>97.55050930380493</v>
      </c>
      <c r="J873" s="574">
        <v>218606.26</v>
      </c>
    </row>
    <row r="874" spans="1:11" s="3" customFormat="1" x14ac:dyDescent="0.2">
      <c r="A874" s="16"/>
      <c r="B874" s="726" t="s">
        <v>972</v>
      </c>
      <c r="C874" s="10">
        <v>0</v>
      </c>
      <c r="D874" s="10">
        <v>0</v>
      </c>
      <c r="E874" s="206">
        <v>0</v>
      </c>
      <c r="F874" s="496"/>
      <c r="G874" s="130">
        <v>0</v>
      </c>
      <c r="H874" s="130">
        <v>0</v>
      </c>
      <c r="I874" s="130">
        <v>0</v>
      </c>
      <c r="J874" s="574">
        <v>0</v>
      </c>
    </row>
    <row r="875" spans="1:11" s="3" customFormat="1" ht="13.5" thickBot="1" x14ac:dyDescent="0.25">
      <c r="A875" s="722"/>
      <c r="B875" s="723"/>
      <c r="C875" s="46"/>
      <c r="D875" s="46"/>
      <c r="E875" s="668"/>
      <c r="F875" s="668"/>
      <c r="G875" s="151"/>
      <c r="H875" s="151"/>
      <c r="I875" s="151"/>
      <c r="J875" s="574"/>
    </row>
    <row r="876" spans="1:11" s="3" customFormat="1" ht="24" thickBot="1" x14ac:dyDescent="0.4">
      <c r="A876" s="8"/>
      <c r="B876" s="7" t="s">
        <v>0</v>
      </c>
      <c r="C876" s="557">
        <f>SUM(C316+C383+C476+C481+C487+C497+C501+C504+C591+C595+C612+C622+C660+C666+C692+C838+C849)</f>
        <v>902306516.75</v>
      </c>
      <c r="D876" s="557">
        <f>SUM(D316+D383+D476+D481+D487+D497+D501+D504+D591+D595+D612+D622+D660+D666+D692+D838+D849)</f>
        <v>880179221.35000002</v>
      </c>
      <c r="E876" s="727">
        <v>692398347.57000005</v>
      </c>
      <c r="F876" s="733">
        <f>SUM(E316,E383,E476,E481,E487,E497,E501,E504,E591,E595,E612,E622,E660,E666,E692,E838,E849)</f>
        <v>692398347.56999993</v>
      </c>
      <c r="G876" s="181">
        <f>E876/C876*100</f>
        <v>76.736489731220829</v>
      </c>
      <c r="H876" s="181">
        <f>E876/D876*100</f>
        <v>78.665609318522002</v>
      </c>
      <c r="I876" s="181">
        <f t="shared" ref="I876" si="223">E876/J876*100</f>
        <v>101.96661325810406</v>
      </c>
      <c r="J876" s="568">
        <v>679044174.79999995</v>
      </c>
    </row>
    <row r="877" spans="1:11" x14ac:dyDescent="0.2">
      <c r="B877" s="5"/>
    </row>
    <row r="878" spans="1:11" x14ac:dyDescent="0.2">
      <c r="B878" s="4"/>
    </row>
    <row r="879" spans="1:11" s="3" customFormat="1" x14ac:dyDescent="0.2">
      <c r="A879" s="1"/>
      <c r="B879" s="1"/>
      <c r="C879" s="1"/>
      <c r="D879" s="1"/>
      <c r="E879" s="1"/>
      <c r="F879" s="2"/>
      <c r="G879" s="1"/>
      <c r="H879" s="1"/>
      <c r="I879" s="1"/>
      <c r="J879" s="1"/>
    </row>
    <row r="880" spans="1:11" s="3" customFormat="1" x14ac:dyDescent="0.2">
      <c r="A880" s="1"/>
      <c r="B880" s="1"/>
      <c r="C880" s="568">
        <f>C9-C876</f>
        <v>3.4999847412109375E-3</v>
      </c>
      <c r="D880" s="568">
        <f>D9-D876</f>
        <v>3.4999847412109375E-3</v>
      </c>
      <c r="E880" s="568">
        <f>E9-E876</f>
        <v>0</v>
      </c>
      <c r="F880" s="568">
        <f>F9-F876</f>
        <v>0</v>
      </c>
      <c r="G880" s="1"/>
      <c r="H880" s="1"/>
      <c r="I880" s="1"/>
      <c r="J880" s="1"/>
    </row>
    <row r="882" spans="3:6" x14ac:dyDescent="0.2">
      <c r="F882" s="14"/>
    </row>
    <row r="883" spans="3:6" x14ac:dyDescent="0.2">
      <c r="C883" s="568"/>
      <c r="D883" s="568"/>
    </row>
    <row r="884" spans="3:6" x14ac:dyDescent="0.2">
      <c r="C884" s="568"/>
      <c r="D884" s="568"/>
    </row>
    <row r="885" spans="3:6" x14ac:dyDescent="0.2">
      <c r="C885" s="568"/>
      <c r="D885" s="568"/>
    </row>
    <row r="886" spans="3:6" x14ac:dyDescent="0.2">
      <c r="C886" s="568"/>
      <c r="D886" s="568"/>
    </row>
    <row r="887" spans="3:6" x14ac:dyDescent="0.2">
      <c r="C887" s="568"/>
      <c r="D887" s="568"/>
    </row>
    <row r="888" spans="3:6" x14ac:dyDescent="0.2">
      <c r="C888" s="568"/>
      <c r="D888" s="568"/>
    </row>
    <row r="889" spans="3:6" x14ac:dyDescent="0.2">
      <c r="C889" s="568"/>
      <c r="D889" s="568"/>
    </row>
    <row r="890" spans="3:6" x14ac:dyDescent="0.2">
      <c r="C890" s="568"/>
      <c r="D890" s="568"/>
      <c r="E890" s="568"/>
    </row>
    <row r="891" spans="3:6" x14ac:dyDescent="0.2">
      <c r="D891" s="568"/>
    </row>
    <row r="892" spans="3:6" x14ac:dyDescent="0.2">
      <c r="D892" s="568"/>
    </row>
  </sheetData>
  <mergeCells count="6">
    <mergeCell ref="L313:M313"/>
    <mergeCell ref="L214:M214"/>
    <mergeCell ref="L217:M217"/>
    <mergeCell ref="L218:M218"/>
    <mergeCell ref="L216:M216"/>
    <mergeCell ref="L215:M215"/>
  </mergeCells>
  <printOptions horizontalCentered="1"/>
  <pageMargins left="0" right="0" top="0.59055118110236227" bottom="0.39370078740157483" header="0" footer="0"/>
  <pageSetup paperSize="9" scale="71" fitToHeight="0" orientation="landscape" r:id="rId1"/>
  <headerFooter alignWithMargins="0">
    <oddFooter>&amp;C&amp;P</oddFooter>
  </headerFooter>
  <rowBreaks count="2" manualBreakCount="2">
    <brk id="50" max="6" man="1"/>
    <brk id="313" max="16383"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9.9978637043366805E-2"/>
    <pageSetUpPr fitToPage="1"/>
  </sheetPr>
  <dimension ref="A1:ABG889"/>
  <sheetViews>
    <sheetView topLeftCell="A9" zoomScaleNormal="100" zoomScaleSheetLayoutView="80" workbookViewId="0">
      <pane ySplit="1095" topLeftCell="A487" activePane="bottomLeft"/>
      <selection activeCell="D10" sqref="D10"/>
      <selection pane="bottomLeft" activeCell="D397" sqref="D397"/>
    </sheetView>
  </sheetViews>
  <sheetFormatPr defaultRowHeight="12.75" x14ac:dyDescent="0.2"/>
  <cols>
    <col min="1" max="1" width="11.85546875" style="1" customWidth="1"/>
    <col min="2" max="2" width="92.7109375" style="1" customWidth="1"/>
    <col min="3" max="4" width="23.140625" style="1" bestFit="1" customWidth="1"/>
    <col min="5" max="5" width="24" style="1" customWidth="1"/>
    <col min="6" max="6" width="18.7109375" style="2" hidden="1" customWidth="1"/>
    <col min="7" max="8" width="10.5703125" style="1" customWidth="1"/>
    <col min="9" max="9" width="12.140625" style="1" customWidth="1"/>
    <col min="10" max="10" width="15.7109375" style="1" customWidth="1"/>
    <col min="11" max="16384" width="9.140625" style="1"/>
  </cols>
  <sheetData>
    <row r="1" spans="1:11" s="375" customFormat="1" ht="50.1" customHeight="1" thickBot="1" x14ac:dyDescent="0.25">
      <c r="A1" s="469" t="s">
        <v>786</v>
      </c>
      <c r="B1" s="470" t="s">
        <v>981</v>
      </c>
      <c r="C1" s="471" t="s">
        <v>780</v>
      </c>
      <c r="D1" s="471" t="s">
        <v>794</v>
      </c>
      <c r="E1" s="471" t="s">
        <v>982</v>
      </c>
      <c r="F1" s="472" t="s">
        <v>776</v>
      </c>
      <c r="G1" s="473" t="s">
        <v>777</v>
      </c>
      <c r="H1" s="473" t="s">
        <v>778</v>
      </c>
      <c r="I1" s="474" t="s">
        <v>782</v>
      </c>
      <c r="J1" s="465" t="s">
        <v>779</v>
      </c>
    </row>
    <row r="2" spans="1:11" s="394" customFormat="1" ht="27" customHeight="1" x14ac:dyDescent="0.25">
      <c r="A2" s="447"/>
      <c r="B2" s="455" t="s">
        <v>775</v>
      </c>
      <c r="C2" s="466"/>
      <c r="D2" s="466"/>
      <c r="E2" s="468"/>
      <c r="F2" s="467"/>
      <c r="G2" s="466"/>
      <c r="H2" s="466"/>
      <c r="I2" s="466"/>
      <c r="J2" s="465"/>
    </row>
    <row r="3" spans="1:11" s="396" customFormat="1" ht="27" customHeight="1" x14ac:dyDescent="0.2">
      <c r="A3" s="464"/>
      <c r="B3" s="417" t="s">
        <v>774</v>
      </c>
      <c r="C3" s="440">
        <f>C53</f>
        <v>388416000</v>
      </c>
      <c r="D3" s="440">
        <f>D53</f>
        <v>393127192.01999998</v>
      </c>
      <c r="E3" s="440"/>
      <c r="F3" s="694"/>
      <c r="G3" s="440"/>
      <c r="H3" s="440"/>
      <c r="I3" s="440"/>
      <c r="J3" s="410"/>
    </row>
    <row r="4" spans="1:11" s="396" customFormat="1" ht="27" customHeight="1" x14ac:dyDescent="0.2">
      <c r="A4" s="463"/>
      <c r="B4" s="417" t="s">
        <v>707</v>
      </c>
      <c r="C4" s="421">
        <f>C89</f>
        <v>127407541.26000001</v>
      </c>
      <c r="D4" s="421">
        <f>D89</f>
        <v>133639948.64000002</v>
      </c>
      <c r="E4" s="421"/>
      <c r="F4" s="695"/>
      <c r="G4" s="421"/>
      <c r="H4" s="421"/>
      <c r="I4" s="421"/>
      <c r="J4" s="410"/>
    </row>
    <row r="5" spans="1:11" s="396" customFormat="1" ht="27" customHeight="1" x14ac:dyDescent="0.2">
      <c r="A5" s="417"/>
      <c r="B5" s="417" t="s">
        <v>627</v>
      </c>
      <c r="C5" s="421">
        <f>C197</f>
        <v>109511899.31</v>
      </c>
      <c r="D5" s="421">
        <f>D197</f>
        <v>57915220</v>
      </c>
      <c r="E5" s="421"/>
      <c r="F5" s="695"/>
      <c r="G5" s="421"/>
      <c r="H5" s="421"/>
      <c r="I5" s="421"/>
      <c r="J5" s="410"/>
    </row>
    <row r="6" spans="1:11" s="396" customFormat="1" ht="27" customHeight="1" x14ac:dyDescent="0.2">
      <c r="A6" s="417"/>
      <c r="B6" s="417" t="s">
        <v>773</v>
      </c>
      <c r="C6" s="421">
        <f>C215</f>
        <v>81229895.713500008</v>
      </c>
      <c r="D6" s="421">
        <f>D215</f>
        <v>104950880.22350001</v>
      </c>
      <c r="E6" s="421"/>
      <c r="F6" s="695"/>
      <c r="G6" s="421"/>
      <c r="H6" s="421"/>
      <c r="I6" s="421"/>
      <c r="J6" s="410"/>
    </row>
    <row r="7" spans="1:11" s="394" customFormat="1" ht="27" customHeight="1" x14ac:dyDescent="0.25">
      <c r="A7" s="462"/>
      <c r="B7" s="461" t="s">
        <v>572</v>
      </c>
      <c r="C7" s="460">
        <f>C302</f>
        <v>706565336.28349996</v>
      </c>
      <c r="D7" s="460">
        <f>D302</f>
        <v>689633240.88349998</v>
      </c>
      <c r="E7" s="460"/>
      <c r="F7" s="487"/>
      <c r="G7" s="460"/>
      <c r="H7" s="460"/>
      <c r="I7" s="460"/>
      <c r="J7" s="452"/>
    </row>
    <row r="8" spans="1:11" s="396" customFormat="1" ht="27" customHeight="1" thickBot="1" x14ac:dyDescent="0.25">
      <c r="A8" s="459"/>
      <c r="B8" s="459" t="s">
        <v>571</v>
      </c>
      <c r="C8" s="419">
        <f>C304</f>
        <v>195741180.47</v>
      </c>
      <c r="D8" s="419">
        <f>D304</f>
        <v>190545980.47</v>
      </c>
      <c r="E8" s="419"/>
      <c r="F8" s="696"/>
      <c r="G8" s="419"/>
      <c r="H8" s="419"/>
      <c r="I8" s="419"/>
      <c r="J8" s="448"/>
    </row>
    <row r="9" spans="1:11" s="456" customFormat="1" ht="27" customHeight="1" thickBot="1" x14ac:dyDescent="0.4">
      <c r="A9" s="458"/>
      <c r="B9" s="324" t="s">
        <v>563</v>
      </c>
      <c r="C9" s="457">
        <f>C313</f>
        <v>902306516.75349998</v>
      </c>
      <c r="D9" s="457">
        <f>D313</f>
        <v>880179221.35350001</v>
      </c>
      <c r="E9" s="557"/>
      <c r="F9" s="730"/>
      <c r="G9" s="457"/>
      <c r="H9" s="457"/>
      <c r="I9" s="457"/>
      <c r="J9" s="747"/>
    </row>
    <row r="10" spans="1:11" s="394" customFormat="1" ht="27" customHeight="1" x14ac:dyDescent="0.25">
      <c r="A10" s="447"/>
      <c r="B10" s="455" t="s">
        <v>772</v>
      </c>
      <c r="C10" s="453"/>
      <c r="D10" s="453"/>
      <c r="E10" s="445"/>
      <c r="F10" s="690"/>
      <c r="G10" s="475"/>
      <c r="H10" s="475"/>
      <c r="I10" s="475"/>
      <c r="J10" s="452">
        <f>SUM(J11:J12)</f>
        <v>285608418.05000001</v>
      </c>
      <c r="K10" s="452"/>
    </row>
    <row r="11" spans="1:11" s="394" customFormat="1" ht="27" customHeight="1" x14ac:dyDescent="0.25">
      <c r="A11" s="447"/>
      <c r="B11" s="451" t="s">
        <v>771</v>
      </c>
      <c r="C11" s="450">
        <f>C50-C12</f>
        <v>640650917.12</v>
      </c>
      <c r="D11" s="450">
        <f>D50-D12</f>
        <v>674853916.38999999</v>
      </c>
      <c r="E11" s="476"/>
      <c r="F11" s="691"/>
      <c r="G11" s="478"/>
      <c r="H11" s="478"/>
      <c r="I11" s="478"/>
      <c r="J11" s="448">
        <v>265360113.87</v>
      </c>
      <c r="K11" s="448"/>
    </row>
    <row r="12" spans="1:11" s="394" customFormat="1" ht="27" customHeight="1" x14ac:dyDescent="0.25">
      <c r="A12" s="447"/>
      <c r="B12" s="451" t="s">
        <v>770</v>
      </c>
      <c r="C12" s="449">
        <v>261655599.63</v>
      </c>
      <c r="D12" s="449">
        <v>205325304.96000001</v>
      </c>
      <c r="E12" s="476"/>
      <c r="F12" s="692"/>
      <c r="G12" s="478"/>
      <c r="H12" s="478"/>
      <c r="I12" s="478"/>
      <c r="J12" s="448">
        <v>20248304.18</v>
      </c>
      <c r="K12" s="448"/>
    </row>
    <row r="13" spans="1:11" s="394" customFormat="1" ht="27" customHeight="1" x14ac:dyDescent="0.25">
      <c r="A13" s="447"/>
      <c r="B13" s="446" t="s">
        <v>769</v>
      </c>
      <c r="C13" s="443"/>
      <c r="D13" s="443"/>
      <c r="E13" s="443"/>
      <c r="F13" s="693"/>
      <c r="G13" s="443"/>
      <c r="H13" s="443"/>
      <c r="I13" s="443"/>
    </row>
    <row r="14" spans="1:11" s="394" customFormat="1" ht="27" customHeight="1" x14ac:dyDescent="0.25">
      <c r="A14" s="442"/>
      <c r="B14" s="441" t="s">
        <v>768</v>
      </c>
      <c r="C14" s="438">
        <f>C316</f>
        <v>47057788.329999998</v>
      </c>
      <c r="D14" s="438">
        <f>D316</f>
        <v>51591620.950000003</v>
      </c>
      <c r="E14" s="438"/>
      <c r="F14" s="698"/>
      <c r="G14" s="438"/>
      <c r="H14" s="438"/>
      <c r="I14" s="438"/>
    </row>
    <row r="15" spans="1:11" s="396" customFormat="1" ht="27" customHeight="1" x14ac:dyDescent="0.25">
      <c r="A15" s="427"/>
      <c r="B15" s="437" t="s">
        <v>767</v>
      </c>
      <c r="C15" s="421">
        <f>C317</f>
        <v>1985000</v>
      </c>
      <c r="D15" s="421">
        <f>D317</f>
        <v>1985000</v>
      </c>
      <c r="E15" s="421"/>
      <c r="F15" s="695"/>
      <c r="G15" s="421"/>
      <c r="H15" s="421"/>
      <c r="I15" s="421"/>
      <c r="J15" s="410"/>
    </row>
    <row r="16" spans="1:11" s="396" customFormat="1" ht="27" customHeight="1" x14ac:dyDescent="0.2">
      <c r="A16" s="417"/>
      <c r="B16" s="414" t="s">
        <v>766</v>
      </c>
      <c r="C16" s="421">
        <f>C330</f>
        <v>27050000</v>
      </c>
      <c r="D16" s="421">
        <f>D330</f>
        <v>32279572.620000001</v>
      </c>
      <c r="E16" s="421"/>
      <c r="F16" s="695"/>
      <c r="G16" s="421"/>
      <c r="H16" s="421"/>
      <c r="I16" s="421"/>
      <c r="J16" s="410"/>
    </row>
    <row r="17" spans="1:81" s="396" customFormat="1" ht="27" customHeight="1" x14ac:dyDescent="0.2">
      <c r="A17" s="414"/>
      <c r="B17" s="414" t="s">
        <v>765</v>
      </c>
      <c r="C17" s="440">
        <f>C350</f>
        <v>2334000</v>
      </c>
      <c r="D17" s="440">
        <f>D350</f>
        <v>2334000</v>
      </c>
      <c r="E17" s="440"/>
      <c r="F17" s="694"/>
      <c r="G17" s="440"/>
      <c r="H17" s="440"/>
      <c r="I17" s="440"/>
      <c r="J17" s="410"/>
    </row>
    <row r="18" spans="1:81" s="396" customFormat="1" ht="27" customHeight="1" thickBot="1" x14ac:dyDescent="0.25">
      <c r="A18" s="420"/>
      <c r="B18" s="420" t="s">
        <v>764</v>
      </c>
      <c r="C18" s="419">
        <f>C356</f>
        <v>15688788.33</v>
      </c>
      <c r="D18" s="419">
        <f>D356</f>
        <v>14993048.33</v>
      </c>
      <c r="E18" s="419"/>
      <c r="F18" s="696"/>
      <c r="G18" s="419"/>
      <c r="H18" s="419"/>
      <c r="I18" s="419"/>
      <c r="J18" s="410"/>
    </row>
    <row r="19" spans="1:81" s="396" customFormat="1" ht="27" customHeight="1" x14ac:dyDescent="0.25">
      <c r="A19" s="414"/>
      <c r="B19" s="439" t="s">
        <v>763</v>
      </c>
      <c r="C19" s="438">
        <f>C383</f>
        <v>114484000</v>
      </c>
      <c r="D19" s="438">
        <f>D383</f>
        <v>74499500</v>
      </c>
      <c r="E19" s="438"/>
      <c r="F19" s="698"/>
      <c r="G19" s="438"/>
      <c r="H19" s="438"/>
      <c r="I19" s="438"/>
      <c r="J19" s="394"/>
    </row>
    <row r="20" spans="1:81" s="396" customFormat="1" ht="27" customHeight="1" x14ac:dyDescent="0.2">
      <c r="A20" s="417"/>
      <c r="B20" s="437" t="s">
        <v>762</v>
      </c>
      <c r="C20" s="421">
        <f>C384</f>
        <v>5530000</v>
      </c>
      <c r="D20" s="421">
        <f>D384</f>
        <v>4330000</v>
      </c>
      <c r="E20" s="421"/>
      <c r="F20" s="695"/>
      <c r="G20" s="421"/>
      <c r="H20" s="421"/>
      <c r="I20" s="421"/>
      <c r="J20" s="410"/>
    </row>
    <row r="21" spans="1:81" s="396" customFormat="1" ht="27" customHeight="1" x14ac:dyDescent="0.2">
      <c r="A21" s="417"/>
      <c r="B21" s="414" t="s">
        <v>761</v>
      </c>
      <c r="C21" s="421">
        <f>C394</f>
        <v>38460500</v>
      </c>
      <c r="D21" s="421">
        <f>D394</f>
        <v>38030000</v>
      </c>
      <c r="E21" s="421"/>
      <c r="F21" s="695"/>
      <c r="G21" s="421"/>
      <c r="H21" s="421"/>
      <c r="I21" s="421"/>
      <c r="J21" s="410"/>
    </row>
    <row r="22" spans="1:81" s="396" customFormat="1" ht="27" customHeight="1" x14ac:dyDescent="0.2">
      <c r="A22" s="417"/>
      <c r="B22" s="414" t="s">
        <v>760</v>
      </c>
      <c r="C22" s="421">
        <f>C442</f>
        <v>6295000</v>
      </c>
      <c r="D22" s="421">
        <f>D442</f>
        <v>4095000</v>
      </c>
      <c r="E22" s="421"/>
      <c r="F22" s="695"/>
      <c r="G22" s="421"/>
      <c r="H22" s="421"/>
      <c r="I22" s="421"/>
      <c r="J22" s="410"/>
    </row>
    <row r="23" spans="1:81" s="396" customFormat="1" ht="27" customHeight="1" x14ac:dyDescent="0.2">
      <c r="A23" s="417"/>
      <c r="B23" s="417" t="s">
        <v>759</v>
      </c>
      <c r="C23" s="421">
        <f>C452</f>
        <v>63726000</v>
      </c>
      <c r="D23" s="421">
        <f>D452</f>
        <v>27872000</v>
      </c>
      <c r="E23" s="421"/>
      <c r="F23" s="695"/>
      <c r="G23" s="421"/>
      <c r="H23" s="421"/>
      <c r="I23" s="421"/>
      <c r="J23" s="410"/>
    </row>
    <row r="24" spans="1:81" s="396" customFormat="1" ht="27" customHeight="1" thickBot="1" x14ac:dyDescent="0.25">
      <c r="A24" s="399"/>
      <c r="B24" s="402" t="s">
        <v>758</v>
      </c>
      <c r="C24" s="400">
        <f>C470</f>
        <v>472500</v>
      </c>
      <c r="D24" s="400">
        <f>D470</f>
        <v>172500</v>
      </c>
      <c r="E24" s="400"/>
      <c r="F24" s="699"/>
      <c r="G24" s="400"/>
      <c r="H24" s="400"/>
      <c r="I24" s="400"/>
      <c r="J24" s="410"/>
    </row>
    <row r="25" spans="1:81" s="396" customFormat="1" ht="27" customHeight="1" thickBot="1" x14ac:dyDescent="0.35">
      <c r="A25" s="425"/>
      <c r="B25" s="408" t="s">
        <v>338</v>
      </c>
      <c r="C25" s="407">
        <f>C475</f>
        <v>3640000</v>
      </c>
      <c r="D25" s="407">
        <f>D475</f>
        <v>2714871</v>
      </c>
      <c r="E25" s="407"/>
      <c r="F25" s="700"/>
      <c r="G25" s="407"/>
      <c r="H25" s="407"/>
      <c r="I25" s="407"/>
    </row>
    <row r="26" spans="1:81" s="434" customFormat="1" ht="27" customHeight="1" thickBot="1" x14ac:dyDescent="0.35">
      <c r="A26" s="420"/>
      <c r="B26" s="436" t="s">
        <v>757</v>
      </c>
      <c r="C26" s="435">
        <f>C480</f>
        <v>10752956</v>
      </c>
      <c r="D26" s="435">
        <f>D480</f>
        <v>9451752</v>
      </c>
      <c r="E26" s="435"/>
      <c r="F26" s="696"/>
      <c r="G26" s="435"/>
      <c r="H26" s="435"/>
      <c r="I26" s="435"/>
      <c r="J26" s="396"/>
    </row>
    <row r="27" spans="1:81" s="396" customFormat="1" ht="27" customHeight="1" thickBot="1" x14ac:dyDescent="0.35">
      <c r="A27" s="425"/>
      <c r="B27" s="408" t="s">
        <v>329</v>
      </c>
      <c r="C27" s="407">
        <f>C486</f>
        <v>7038417</v>
      </c>
      <c r="D27" s="407">
        <f>D486</f>
        <v>6727658</v>
      </c>
      <c r="E27" s="407"/>
      <c r="F27" s="700"/>
      <c r="G27" s="407"/>
      <c r="H27" s="407"/>
      <c r="I27" s="407"/>
    </row>
    <row r="28" spans="1:81" s="396" customFormat="1" ht="27" customHeight="1" thickBot="1" x14ac:dyDescent="0.35">
      <c r="A28" s="399"/>
      <c r="B28" s="433" t="s">
        <v>321</v>
      </c>
      <c r="C28" s="432">
        <f>C496</f>
        <v>112000</v>
      </c>
      <c r="D28" s="432">
        <f>D496</f>
        <v>112000</v>
      </c>
      <c r="E28" s="432"/>
      <c r="F28" s="701"/>
      <c r="G28" s="432"/>
      <c r="H28" s="432"/>
      <c r="I28" s="432"/>
      <c r="J28" s="410"/>
    </row>
    <row r="29" spans="1:81" s="429" customFormat="1" ht="27" customHeight="1" thickBot="1" x14ac:dyDescent="0.3">
      <c r="A29" s="44"/>
      <c r="B29" s="431" t="s">
        <v>756</v>
      </c>
      <c r="C29" s="430">
        <f>C500</f>
        <v>500000</v>
      </c>
      <c r="D29" s="430">
        <f>D500</f>
        <v>740709.65</v>
      </c>
      <c r="E29" s="430"/>
      <c r="F29" s="702"/>
      <c r="G29" s="430"/>
      <c r="H29" s="430"/>
      <c r="I29" s="430"/>
      <c r="J29" s="410"/>
      <c r="K29" s="396"/>
      <c r="L29" s="396"/>
      <c r="M29" s="396"/>
      <c r="N29" s="396"/>
      <c r="O29" s="396"/>
      <c r="P29" s="396"/>
      <c r="Q29" s="396"/>
      <c r="R29" s="396"/>
      <c r="S29" s="396"/>
      <c r="T29" s="396"/>
      <c r="U29" s="396"/>
      <c r="V29" s="396"/>
      <c r="W29" s="396"/>
      <c r="X29" s="396"/>
      <c r="Y29" s="396"/>
      <c r="Z29" s="396"/>
      <c r="AA29" s="396"/>
      <c r="AB29" s="396"/>
      <c r="AC29" s="396"/>
      <c r="AD29" s="396"/>
      <c r="AE29" s="396"/>
      <c r="AF29" s="396"/>
      <c r="AG29" s="396"/>
      <c r="AH29" s="396"/>
      <c r="AI29" s="396"/>
      <c r="AJ29" s="396"/>
      <c r="AK29" s="396"/>
      <c r="AL29" s="396"/>
      <c r="AM29" s="396"/>
      <c r="AN29" s="396"/>
      <c r="AO29" s="396"/>
      <c r="AP29" s="396"/>
      <c r="AQ29" s="396"/>
      <c r="AR29" s="396"/>
      <c r="AS29" s="396"/>
      <c r="AT29" s="396"/>
      <c r="AU29" s="396"/>
      <c r="AV29" s="396"/>
      <c r="AW29" s="396"/>
      <c r="AX29" s="396"/>
      <c r="AY29" s="396"/>
      <c r="AZ29" s="396"/>
      <c r="BA29" s="396"/>
      <c r="BB29" s="396"/>
      <c r="BC29" s="396"/>
      <c r="BD29" s="396"/>
      <c r="BE29" s="396"/>
      <c r="BF29" s="396"/>
      <c r="BG29" s="396"/>
      <c r="BH29" s="396"/>
      <c r="BI29" s="396"/>
      <c r="BJ29" s="396"/>
      <c r="BK29" s="396"/>
      <c r="BL29" s="396"/>
      <c r="BM29" s="396"/>
      <c r="BN29" s="396"/>
      <c r="BO29" s="396"/>
      <c r="BP29" s="396"/>
      <c r="BQ29" s="396"/>
      <c r="BR29" s="396"/>
      <c r="BS29" s="396"/>
      <c r="BT29" s="396"/>
      <c r="BU29" s="396"/>
      <c r="BV29" s="396"/>
      <c r="BW29" s="396"/>
      <c r="BX29" s="396"/>
      <c r="BY29" s="396"/>
      <c r="BZ29" s="396"/>
      <c r="CA29" s="396"/>
      <c r="CB29" s="396"/>
      <c r="CC29" s="396"/>
    </row>
    <row r="30" spans="1:81" s="396" customFormat="1" ht="27" customHeight="1" x14ac:dyDescent="0.3">
      <c r="A30" s="428"/>
      <c r="B30" s="398" t="s">
        <v>316</v>
      </c>
      <c r="C30" s="397">
        <f>C503</f>
        <v>165843398.80000001</v>
      </c>
      <c r="D30" s="397">
        <f>D503</f>
        <v>144564840.49000001</v>
      </c>
      <c r="E30" s="397"/>
      <c r="F30" s="694"/>
      <c r="G30" s="397"/>
      <c r="H30" s="397"/>
      <c r="I30" s="397"/>
    </row>
    <row r="31" spans="1:81" s="396" customFormat="1" ht="27" customHeight="1" x14ac:dyDescent="0.25">
      <c r="A31" s="427"/>
      <c r="B31" s="417" t="s">
        <v>755</v>
      </c>
      <c r="C31" s="421">
        <f>C504</f>
        <v>84320582.799999997</v>
      </c>
      <c r="D31" s="421">
        <f>D504</f>
        <v>72524703.810000002</v>
      </c>
      <c r="E31" s="421"/>
      <c r="F31" s="695"/>
      <c r="G31" s="421"/>
      <c r="H31" s="421"/>
      <c r="I31" s="421"/>
      <c r="J31" s="410"/>
    </row>
    <row r="32" spans="1:81" s="396" customFormat="1" ht="27" customHeight="1" x14ac:dyDescent="0.2">
      <c r="A32" s="417"/>
      <c r="B32" s="417" t="s">
        <v>754</v>
      </c>
      <c r="C32" s="421">
        <f>C556</f>
        <v>63946000</v>
      </c>
      <c r="D32" s="421">
        <f>D556</f>
        <v>53222851.680000007</v>
      </c>
      <c r="E32" s="421"/>
      <c r="F32" s="695"/>
      <c r="G32" s="421"/>
      <c r="H32" s="421"/>
      <c r="I32" s="421"/>
      <c r="J32" s="410"/>
    </row>
    <row r="33" spans="1:10" s="396" customFormat="1" ht="27" customHeight="1" thickBot="1" x14ac:dyDescent="0.25">
      <c r="A33" s="420"/>
      <c r="B33" s="402" t="s">
        <v>753</v>
      </c>
      <c r="C33" s="419">
        <f>C579</f>
        <v>17576816</v>
      </c>
      <c r="D33" s="419">
        <f>D579</f>
        <v>18817285</v>
      </c>
      <c r="E33" s="419"/>
      <c r="F33" s="696"/>
      <c r="G33" s="419"/>
      <c r="H33" s="419"/>
      <c r="I33" s="419"/>
      <c r="J33" s="410"/>
    </row>
    <row r="34" spans="1:10" s="396" customFormat="1" ht="27" customHeight="1" thickBot="1" x14ac:dyDescent="0.35">
      <c r="A34" s="402"/>
      <c r="B34" s="426" t="s">
        <v>752</v>
      </c>
      <c r="C34" s="411">
        <f>C590</f>
        <v>24084500</v>
      </c>
      <c r="D34" s="411">
        <f>D590</f>
        <v>24224500</v>
      </c>
      <c r="E34" s="411"/>
      <c r="F34" s="699"/>
      <c r="G34" s="411"/>
      <c r="H34" s="411"/>
      <c r="I34" s="411"/>
    </row>
    <row r="35" spans="1:10" s="396" customFormat="1" ht="27" customHeight="1" thickBot="1" x14ac:dyDescent="0.35">
      <c r="A35" s="402"/>
      <c r="B35" s="426" t="s">
        <v>751</v>
      </c>
      <c r="C35" s="411">
        <f>C594</f>
        <v>34895800</v>
      </c>
      <c r="D35" s="411">
        <f>D594</f>
        <v>34705630.560000002</v>
      </c>
      <c r="E35" s="411"/>
      <c r="F35" s="699"/>
      <c r="G35" s="411"/>
      <c r="H35" s="411"/>
      <c r="I35" s="411"/>
    </row>
    <row r="36" spans="1:10" s="396" customFormat="1" ht="27" customHeight="1" thickBot="1" x14ac:dyDescent="0.25">
      <c r="A36" s="425"/>
      <c r="B36" s="424" t="s">
        <v>750</v>
      </c>
      <c r="C36" s="423">
        <f>C611</f>
        <v>149365960</v>
      </c>
      <c r="D36" s="423">
        <f>D611</f>
        <v>153561427</v>
      </c>
      <c r="E36" s="423"/>
      <c r="F36" s="703"/>
      <c r="G36" s="423"/>
      <c r="H36" s="423"/>
      <c r="I36" s="423"/>
    </row>
    <row r="37" spans="1:10" s="396" customFormat="1" ht="27" customHeight="1" x14ac:dyDescent="0.3">
      <c r="A37" s="405"/>
      <c r="B37" s="398" t="s">
        <v>214</v>
      </c>
      <c r="C37" s="397">
        <f>C621</f>
        <v>10937288</v>
      </c>
      <c r="D37" s="397">
        <f>D621</f>
        <v>10885956</v>
      </c>
      <c r="E37" s="397"/>
      <c r="F37" s="694"/>
      <c r="G37" s="397"/>
      <c r="H37" s="397"/>
      <c r="I37" s="397"/>
      <c r="J37" s="410"/>
    </row>
    <row r="38" spans="1:10" s="396" customFormat="1" ht="27" customHeight="1" x14ac:dyDescent="0.2">
      <c r="A38" s="422"/>
      <c r="B38" s="422" t="s">
        <v>749</v>
      </c>
      <c r="C38" s="421">
        <f>C622</f>
        <v>3067000</v>
      </c>
      <c r="D38" s="421">
        <f>D622</f>
        <v>3015668</v>
      </c>
      <c r="E38" s="421"/>
      <c r="F38" s="695"/>
      <c r="G38" s="421"/>
      <c r="H38" s="421"/>
      <c r="I38" s="421"/>
      <c r="J38" s="410"/>
    </row>
    <row r="39" spans="1:10" s="396" customFormat="1" ht="27" customHeight="1" thickBot="1" x14ac:dyDescent="0.25">
      <c r="A39" s="420"/>
      <c r="B39" s="420" t="s">
        <v>748</v>
      </c>
      <c r="C39" s="419">
        <f>C648</f>
        <v>7870288</v>
      </c>
      <c r="D39" s="419">
        <f>D648</f>
        <v>7870288</v>
      </c>
      <c r="E39" s="419"/>
      <c r="F39" s="696"/>
      <c r="G39" s="419"/>
      <c r="H39" s="419"/>
      <c r="I39" s="419"/>
    </row>
    <row r="40" spans="1:10" s="396" customFormat="1" ht="27" customHeight="1" x14ac:dyDescent="0.3">
      <c r="A40" s="405"/>
      <c r="B40" s="418" t="s">
        <v>747</v>
      </c>
      <c r="C40" s="403">
        <f>C659</f>
        <v>13505100</v>
      </c>
      <c r="D40" s="403">
        <f>D659</f>
        <v>20952447</v>
      </c>
      <c r="E40" s="403"/>
      <c r="F40" s="704"/>
      <c r="G40" s="403"/>
      <c r="H40" s="403"/>
      <c r="I40" s="403"/>
    </row>
    <row r="41" spans="1:10" s="396" customFormat="1" ht="27" customHeight="1" x14ac:dyDescent="0.2">
      <c r="A41" s="417"/>
      <c r="B41" s="416" t="s">
        <v>746</v>
      </c>
      <c r="C41" s="734">
        <f t="shared" ref="C41:D43" si="0">C661</f>
        <v>6835500</v>
      </c>
      <c r="D41" s="734">
        <f t="shared" si="0"/>
        <v>10861890</v>
      </c>
      <c r="E41" s="734"/>
      <c r="F41" s="735"/>
      <c r="G41" s="734"/>
      <c r="H41" s="734"/>
      <c r="I41" s="734"/>
    </row>
    <row r="42" spans="1:10" s="396" customFormat="1" ht="27" customHeight="1" x14ac:dyDescent="0.2">
      <c r="A42" s="414"/>
      <c r="B42" s="413" t="s">
        <v>745</v>
      </c>
      <c r="C42" s="440">
        <f t="shared" si="0"/>
        <v>1739300</v>
      </c>
      <c r="D42" s="440">
        <f t="shared" si="0"/>
        <v>2674275</v>
      </c>
      <c r="E42" s="440"/>
      <c r="F42" s="736"/>
      <c r="G42" s="440"/>
      <c r="H42" s="440"/>
      <c r="I42" s="440"/>
    </row>
    <row r="43" spans="1:10" s="396" customFormat="1" ht="27" customHeight="1" thickBot="1" x14ac:dyDescent="0.25">
      <c r="A43" s="402"/>
      <c r="B43" s="412" t="s">
        <v>744</v>
      </c>
      <c r="C43" s="400">
        <f t="shared" si="0"/>
        <v>4930300</v>
      </c>
      <c r="D43" s="400">
        <f t="shared" si="0"/>
        <v>7416282</v>
      </c>
      <c r="E43" s="400"/>
      <c r="F43" s="737"/>
      <c r="G43" s="400"/>
      <c r="H43" s="400"/>
      <c r="I43" s="400"/>
      <c r="J43" s="410"/>
    </row>
    <row r="44" spans="1:10" s="396" customFormat="1" ht="27" customHeight="1" x14ac:dyDescent="0.3">
      <c r="A44" s="732"/>
      <c r="B44" s="404" t="s">
        <v>176</v>
      </c>
      <c r="C44" s="403">
        <f>C665</f>
        <v>58483000</v>
      </c>
      <c r="D44" s="403">
        <f>D665</f>
        <v>48709145.5</v>
      </c>
      <c r="E44" s="403"/>
      <c r="F44" s="704"/>
      <c r="G44" s="403"/>
      <c r="H44" s="403"/>
      <c r="I44" s="403"/>
    </row>
    <row r="45" spans="1:10" s="396" customFormat="1" ht="27" customHeight="1" thickBot="1" x14ac:dyDescent="0.25">
      <c r="A45" s="402"/>
      <c r="B45" s="401" t="s">
        <v>977</v>
      </c>
      <c r="C45" s="400">
        <f>C687</f>
        <v>0</v>
      </c>
      <c r="D45" s="400">
        <f t="shared" ref="D45" si="1">D687</f>
        <v>300000</v>
      </c>
      <c r="E45" s="400"/>
      <c r="F45" s="400"/>
      <c r="G45" s="400"/>
      <c r="H45" s="400"/>
      <c r="I45" s="400"/>
      <c r="J45" s="201"/>
    </row>
    <row r="46" spans="1:10" s="396" customFormat="1" ht="27" customHeight="1" thickBot="1" x14ac:dyDescent="0.35">
      <c r="A46" s="409"/>
      <c r="B46" s="408" t="s">
        <v>743</v>
      </c>
      <c r="C46" s="407">
        <f>C691</f>
        <v>224822000</v>
      </c>
      <c r="D46" s="407">
        <f>D691</f>
        <v>205758852.30000001</v>
      </c>
      <c r="E46" s="407"/>
      <c r="F46" s="700"/>
      <c r="G46" s="407"/>
      <c r="H46" s="407"/>
      <c r="I46" s="407"/>
      <c r="J46" s="406"/>
    </row>
    <row r="47" spans="1:10" s="396" customFormat="1" ht="27" customHeight="1" x14ac:dyDescent="0.3">
      <c r="A47" s="405"/>
      <c r="B47" s="404" t="s">
        <v>30</v>
      </c>
      <c r="C47" s="403">
        <f>C834</f>
        <v>600000</v>
      </c>
      <c r="D47" s="403">
        <f>D834</f>
        <v>550000</v>
      </c>
      <c r="E47" s="403"/>
      <c r="F47" s="704"/>
      <c r="G47" s="403"/>
      <c r="H47" s="403"/>
      <c r="I47" s="403"/>
      <c r="J47" s="375"/>
    </row>
    <row r="48" spans="1:10" s="396" customFormat="1" ht="27" customHeight="1" thickBot="1" x14ac:dyDescent="0.25">
      <c r="A48" s="402"/>
      <c r="B48" s="401" t="s">
        <v>742</v>
      </c>
      <c r="C48" s="400">
        <f>C842</f>
        <v>0</v>
      </c>
      <c r="D48" s="400">
        <f>D842</f>
        <v>0</v>
      </c>
      <c r="E48" s="400"/>
      <c r="F48" s="699"/>
      <c r="G48" s="400"/>
      <c r="H48" s="400"/>
      <c r="I48" s="400"/>
      <c r="J48" s="201"/>
    </row>
    <row r="49" spans="1:10" s="396" customFormat="1" ht="27" customHeight="1" thickBot="1" x14ac:dyDescent="0.35">
      <c r="A49" s="399"/>
      <c r="B49" s="398" t="s">
        <v>20</v>
      </c>
      <c r="C49" s="397">
        <f>C845</f>
        <v>36184308.620000005</v>
      </c>
      <c r="D49" s="397">
        <f>D845</f>
        <v>90428310.900000006</v>
      </c>
      <c r="E49" s="397"/>
      <c r="F49" s="694"/>
      <c r="G49" s="397"/>
      <c r="H49" s="397"/>
      <c r="I49" s="397"/>
      <c r="J49" s="201"/>
    </row>
    <row r="50" spans="1:10" s="394" customFormat="1" ht="27" customHeight="1" thickBot="1" x14ac:dyDescent="0.35">
      <c r="A50" s="395"/>
      <c r="B50" s="139" t="s">
        <v>0</v>
      </c>
      <c r="C50" s="176">
        <f>C873</f>
        <v>902306516.75</v>
      </c>
      <c r="D50" s="176">
        <f>D873</f>
        <v>880179221.35000002</v>
      </c>
      <c r="E50" s="176"/>
      <c r="F50" s="697"/>
      <c r="G50" s="176"/>
      <c r="H50" s="176"/>
      <c r="I50" s="176"/>
      <c r="J50" s="14"/>
    </row>
    <row r="51" spans="1:10" s="394" customFormat="1" ht="27" customHeight="1" thickBot="1" x14ac:dyDescent="0.35">
      <c r="A51" s="395"/>
      <c r="B51" s="139"/>
      <c r="C51" s="177"/>
      <c r="D51" s="177"/>
      <c r="E51" s="391"/>
      <c r="F51" s="390"/>
      <c r="G51" s="389"/>
      <c r="H51" s="389"/>
      <c r="I51" s="389"/>
      <c r="J51" s="201"/>
    </row>
    <row r="52" spans="1:10" s="375" customFormat="1" ht="30" customHeight="1" thickBot="1" x14ac:dyDescent="0.35">
      <c r="A52" s="393"/>
      <c r="B52" s="392" t="s">
        <v>741</v>
      </c>
      <c r="C52" s="389"/>
      <c r="D52" s="389"/>
      <c r="E52" s="189"/>
      <c r="F52" s="390"/>
      <c r="G52" s="479"/>
      <c r="H52" s="479"/>
      <c r="I52" s="479"/>
      <c r="J52" s="748"/>
    </row>
    <row r="53" spans="1:10" s="564" customFormat="1" ht="30" customHeight="1" thickBot="1" x14ac:dyDescent="0.3">
      <c r="A53" s="388"/>
      <c r="B53" s="560" t="s">
        <v>740</v>
      </c>
      <c r="C53" s="561">
        <f>SUM(C54:C66,C70,C73:C76,C83:C87)</f>
        <v>388416000</v>
      </c>
      <c r="D53" s="561">
        <f>SUM(D54:D66,D70,D73:D76,D83:D87)</f>
        <v>393127192.01999998</v>
      </c>
      <c r="E53" s="562"/>
      <c r="F53" s="563"/>
      <c r="G53" s="550"/>
      <c r="H53" s="550"/>
      <c r="I53" s="550"/>
      <c r="J53" s="568">
        <v>191976072.24000001</v>
      </c>
    </row>
    <row r="54" spans="1:10" s="220" customFormat="1" ht="30" customHeight="1" x14ac:dyDescent="0.2">
      <c r="A54" s="138">
        <v>1111</v>
      </c>
      <c r="B54" s="386" t="s">
        <v>739</v>
      </c>
      <c r="C54" s="120">
        <f>(85460000-83860000)/2+83860000</f>
        <v>84660000</v>
      </c>
      <c r="D54" s="120">
        <f>((85460000-83860000)/2+83860000)-29857260</f>
        <v>54802740</v>
      </c>
      <c r="E54" s="120"/>
      <c r="F54" s="126"/>
      <c r="G54" s="120"/>
      <c r="H54" s="120"/>
      <c r="I54" s="120"/>
      <c r="J54" s="14">
        <v>33887507.640000001</v>
      </c>
    </row>
    <row r="55" spans="1:10" s="3" customFormat="1" ht="30" customHeight="1" x14ac:dyDescent="0.2">
      <c r="A55" s="124">
        <v>1111</v>
      </c>
      <c r="B55" s="184" t="s">
        <v>738</v>
      </c>
      <c r="C55" s="120">
        <f>(8650000-8490000)/2+8490000</f>
        <v>8570000</v>
      </c>
      <c r="D55" s="120">
        <f>((8650000-8490000)/2+8490000)-3427100</f>
        <v>5142900</v>
      </c>
      <c r="E55" s="187"/>
      <c r="F55" s="480"/>
      <c r="G55" s="120"/>
      <c r="H55" s="120"/>
      <c r="I55" s="120"/>
      <c r="J55" s="14">
        <v>3578784.2</v>
      </c>
    </row>
    <row r="56" spans="1:10" s="3" customFormat="1" ht="30" customHeight="1" x14ac:dyDescent="0.2">
      <c r="A56" s="124">
        <v>1112</v>
      </c>
      <c r="B56" s="184" t="s">
        <v>737</v>
      </c>
      <c r="C56" s="120">
        <f>(1280000-1140000)/2+1140000</f>
        <v>1210000</v>
      </c>
      <c r="D56" s="120">
        <f>((1280000-1140000)/2+1140000)+406600</f>
        <v>1616600</v>
      </c>
      <c r="E56" s="121"/>
      <c r="F56" s="130"/>
      <c r="G56" s="120"/>
      <c r="H56" s="120"/>
      <c r="I56" s="120"/>
      <c r="J56" s="14">
        <v>574554.49</v>
      </c>
    </row>
    <row r="57" spans="1:10" s="3" customFormat="1" ht="30" customHeight="1" x14ac:dyDescent="0.2">
      <c r="A57" s="124">
        <v>1113</v>
      </c>
      <c r="B57" s="184" t="s">
        <v>736</v>
      </c>
      <c r="C57" s="120">
        <v>8425000</v>
      </c>
      <c r="D57" s="120">
        <f>8425000-18680</f>
        <v>8406320</v>
      </c>
      <c r="E57" s="121"/>
      <c r="F57" s="130"/>
      <c r="G57" s="120"/>
      <c r="H57" s="120"/>
      <c r="I57" s="120"/>
      <c r="J57" s="14">
        <v>3564935.25</v>
      </c>
    </row>
    <row r="58" spans="1:10" s="3" customFormat="1" ht="30" customHeight="1" x14ac:dyDescent="0.2">
      <c r="A58" s="124">
        <v>1121</v>
      </c>
      <c r="B58" s="184" t="s">
        <v>735</v>
      </c>
      <c r="C58" s="120">
        <f>(50430000-49560000)/2+49560000</f>
        <v>49995000</v>
      </c>
      <c r="D58" s="120">
        <f>((50430000-49560000)/2+49560000)+4322760+15000000</f>
        <v>69317760</v>
      </c>
      <c r="E58" s="121"/>
      <c r="F58" s="130"/>
      <c r="G58" s="120"/>
      <c r="H58" s="120"/>
      <c r="I58" s="120"/>
      <c r="J58" s="14">
        <v>23206623.16</v>
      </c>
    </row>
    <row r="59" spans="1:10" s="3" customFormat="1" ht="30" customHeight="1" x14ac:dyDescent="0.2">
      <c r="A59" s="124">
        <v>1122</v>
      </c>
      <c r="B59" s="184" t="s">
        <v>734</v>
      </c>
      <c r="C59" s="121">
        <v>23000000</v>
      </c>
      <c r="D59" s="121">
        <f>23000000-1962450+(1962450-1962250)</f>
        <v>21037750</v>
      </c>
      <c r="E59" s="121"/>
      <c r="F59" s="130"/>
      <c r="G59" s="120"/>
      <c r="H59" s="120"/>
      <c r="I59" s="120"/>
      <c r="J59" s="14">
        <v>22015870</v>
      </c>
    </row>
    <row r="60" spans="1:10" s="3" customFormat="1" ht="30" customHeight="1" x14ac:dyDescent="0.2">
      <c r="A60" s="124">
        <v>1211</v>
      </c>
      <c r="B60" s="184" t="s">
        <v>733</v>
      </c>
      <c r="C60" s="120">
        <f>(168370000-160100000)/2+160100000</f>
        <v>164235000</v>
      </c>
      <c r="D60" s="120">
        <f>((168370000-160100000)/2+160100000)+22643960</f>
        <v>186878960</v>
      </c>
      <c r="E60" s="170"/>
      <c r="F60" s="295"/>
      <c r="G60" s="120"/>
      <c r="H60" s="120"/>
      <c r="I60" s="120"/>
      <c r="J60" s="14">
        <v>74740636.609999999</v>
      </c>
    </row>
    <row r="61" spans="1:10" s="3" customFormat="1" ht="30" customHeight="1" x14ac:dyDescent="0.2">
      <c r="A61" s="124">
        <v>1334</v>
      </c>
      <c r="B61" s="184" t="s">
        <v>732</v>
      </c>
      <c r="C61" s="120">
        <v>50000</v>
      </c>
      <c r="D61" s="120">
        <f>50000+28054.2</f>
        <v>78054.2</v>
      </c>
      <c r="E61" s="121"/>
      <c r="F61" s="130"/>
      <c r="G61" s="120"/>
      <c r="H61" s="120"/>
      <c r="I61" s="120"/>
      <c r="J61" s="14">
        <v>53936.2</v>
      </c>
    </row>
    <row r="62" spans="1:10" s="3" customFormat="1" ht="30" customHeight="1" x14ac:dyDescent="0.2">
      <c r="A62" s="124">
        <v>1335</v>
      </c>
      <c r="B62" s="184" t="s">
        <v>731</v>
      </c>
      <c r="C62" s="120">
        <v>5000</v>
      </c>
      <c r="D62" s="120">
        <f>5000+15000</f>
        <v>20000</v>
      </c>
      <c r="E62" s="121"/>
      <c r="F62" s="130"/>
      <c r="G62" s="120"/>
      <c r="H62" s="120"/>
      <c r="I62" s="120"/>
      <c r="J62" s="14">
        <v>20555.240000000002</v>
      </c>
    </row>
    <row r="63" spans="1:10" s="3" customFormat="1" ht="30" customHeight="1" x14ac:dyDescent="0.2">
      <c r="A63" s="124">
        <v>1336</v>
      </c>
      <c r="B63" s="184" t="s">
        <v>730</v>
      </c>
      <c r="C63" s="120">
        <v>0</v>
      </c>
      <c r="D63" s="120">
        <f>2800</f>
        <v>2800</v>
      </c>
      <c r="E63" s="121"/>
      <c r="F63" s="130"/>
      <c r="G63" s="120"/>
      <c r="H63" s="120"/>
      <c r="I63" s="120"/>
      <c r="J63" s="6">
        <v>2800</v>
      </c>
    </row>
    <row r="64" spans="1:10" s="3" customFormat="1" ht="30" customHeight="1" x14ac:dyDescent="0.2">
      <c r="A64" s="124">
        <v>1340</v>
      </c>
      <c r="B64" s="203" t="s">
        <v>729</v>
      </c>
      <c r="C64" s="121">
        <v>13000000</v>
      </c>
      <c r="D64" s="121">
        <v>13000000</v>
      </c>
      <c r="E64" s="121"/>
      <c r="F64" s="130"/>
      <c r="G64" s="120"/>
      <c r="H64" s="120"/>
      <c r="I64" s="120"/>
      <c r="J64" s="6">
        <v>10522251.970000001</v>
      </c>
    </row>
    <row r="65" spans="1:31" s="3" customFormat="1" ht="30" customHeight="1" x14ac:dyDescent="0.2">
      <c r="A65" s="124">
        <v>1341</v>
      </c>
      <c r="B65" s="184" t="s">
        <v>728</v>
      </c>
      <c r="C65" s="120">
        <v>650000</v>
      </c>
      <c r="D65" s="120">
        <v>650000</v>
      </c>
      <c r="E65" s="121"/>
      <c r="F65" s="130"/>
      <c r="G65" s="120"/>
      <c r="H65" s="120"/>
      <c r="I65" s="120"/>
      <c r="J65" s="6">
        <v>530291.61</v>
      </c>
    </row>
    <row r="66" spans="1:31" s="3" customFormat="1" ht="30" customHeight="1" x14ac:dyDescent="0.2">
      <c r="A66" s="124">
        <v>1343</v>
      </c>
      <c r="B66" s="184" t="s">
        <v>727</v>
      </c>
      <c r="C66" s="170">
        <f>SUM(C67:C69)</f>
        <v>385000</v>
      </c>
      <c r="D66" s="170">
        <f>SUM(D67:D69)</f>
        <v>295000</v>
      </c>
      <c r="E66" s="121"/>
      <c r="F66" s="130"/>
      <c r="G66" s="120"/>
      <c r="H66" s="120"/>
      <c r="I66" s="120"/>
      <c r="J66" s="14">
        <v>158439</v>
      </c>
    </row>
    <row r="67" spans="1:31" ht="30" customHeight="1" x14ac:dyDescent="0.2">
      <c r="A67" s="132"/>
      <c r="B67" s="185" t="s">
        <v>726</v>
      </c>
      <c r="C67" s="126">
        <v>300000</v>
      </c>
      <c r="D67" s="126">
        <f>300000-90000</f>
        <v>210000</v>
      </c>
      <c r="E67" s="130"/>
      <c r="F67" s="130"/>
      <c r="G67" s="126"/>
      <c r="H67" s="126"/>
      <c r="I67" s="126"/>
      <c r="J67" s="14">
        <v>116324</v>
      </c>
    </row>
    <row r="68" spans="1:31" ht="30" customHeight="1" x14ac:dyDescent="0.2">
      <c r="A68" s="132"/>
      <c r="B68" s="185" t="s">
        <v>725</v>
      </c>
      <c r="C68" s="126">
        <v>60000</v>
      </c>
      <c r="D68" s="126">
        <v>60000</v>
      </c>
      <c r="E68" s="130"/>
      <c r="F68" s="130"/>
      <c r="G68" s="126"/>
      <c r="H68" s="126"/>
      <c r="I68" s="126"/>
      <c r="J68" s="14">
        <v>33145</v>
      </c>
    </row>
    <row r="69" spans="1:31" ht="30" customHeight="1" x14ac:dyDescent="0.2">
      <c r="A69" s="132"/>
      <c r="B69" s="185" t="s">
        <v>724</v>
      </c>
      <c r="C69" s="126">
        <v>25000</v>
      </c>
      <c r="D69" s="126">
        <v>25000</v>
      </c>
      <c r="E69" s="295"/>
      <c r="F69" s="295"/>
      <c r="G69" s="126"/>
      <c r="H69" s="126"/>
      <c r="I69" s="126"/>
      <c r="J69" s="6">
        <v>8970</v>
      </c>
    </row>
    <row r="70" spans="1:31" s="220" customFormat="1" ht="29.25" customHeight="1" x14ac:dyDescent="0.2">
      <c r="A70" s="20">
        <v>1346</v>
      </c>
      <c r="B70" s="385" t="s">
        <v>723</v>
      </c>
      <c r="C70" s="120">
        <f>SUM(C71:C72)</f>
        <v>95000</v>
      </c>
      <c r="D70" s="120">
        <f>SUM(D71:D72)</f>
        <v>122041</v>
      </c>
      <c r="E70" s="121"/>
      <c r="F70" s="130"/>
      <c r="G70" s="120"/>
      <c r="H70" s="120"/>
      <c r="I70" s="120"/>
      <c r="J70" s="6">
        <v>123276</v>
      </c>
    </row>
    <row r="71" spans="1:31" s="90" customFormat="1" ht="29.25" customHeight="1" x14ac:dyDescent="0.2">
      <c r="A71" s="23"/>
      <c r="B71" s="384" t="s">
        <v>722</v>
      </c>
      <c r="C71" s="126">
        <v>5000</v>
      </c>
      <c r="D71" s="126">
        <f>5000</f>
        <v>5000</v>
      </c>
      <c r="E71" s="130"/>
      <c r="F71" s="130"/>
      <c r="G71" s="126"/>
      <c r="H71" s="126"/>
      <c r="I71" s="126"/>
      <c r="J71" s="6">
        <v>114716</v>
      </c>
    </row>
    <row r="72" spans="1:31" s="383" customFormat="1" ht="29.25" customHeight="1" x14ac:dyDescent="0.2">
      <c r="A72" s="307"/>
      <c r="B72" s="166" t="s">
        <v>721</v>
      </c>
      <c r="C72" s="133">
        <v>90000</v>
      </c>
      <c r="D72" s="133">
        <f>90000+27041</f>
        <v>117041</v>
      </c>
      <c r="E72" s="130"/>
      <c r="F72" s="130"/>
      <c r="G72" s="126"/>
      <c r="H72" s="126"/>
      <c r="I72" s="126"/>
      <c r="J72" s="14">
        <v>8560</v>
      </c>
    </row>
    <row r="73" spans="1:31" s="220" customFormat="1" ht="29.25" customHeight="1" x14ac:dyDescent="0.2">
      <c r="A73" s="20">
        <v>1353</v>
      </c>
      <c r="B73" s="19" t="s">
        <v>720</v>
      </c>
      <c r="C73" s="120">
        <v>600000</v>
      </c>
      <c r="D73" s="120">
        <v>600000</v>
      </c>
      <c r="E73" s="121"/>
      <c r="F73" s="130"/>
      <c r="G73" s="120"/>
      <c r="H73" s="120"/>
      <c r="I73" s="120"/>
      <c r="J73" s="14">
        <v>189300</v>
      </c>
    </row>
    <row r="74" spans="1:31" s="3" customFormat="1" ht="29.25" customHeight="1" x14ac:dyDescent="0.2">
      <c r="A74" s="124">
        <v>1356</v>
      </c>
      <c r="B74" s="184" t="s">
        <v>719</v>
      </c>
      <c r="C74" s="121">
        <v>250000</v>
      </c>
      <c r="D74" s="121">
        <v>250000</v>
      </c>
      <c r="E74" s="121"/>
      <c r="F74" s="130"/>
      <c r="G74" s="120"/>
      <c r="H74" s="120"/>
      <c r="I74" s="120"/>
      <c r="J74" s="6">
        <v>242547.84</v>
      </c>
    </row>
    <row r="75" spans="1:31" s="3" customFormat="1" ht="29.25" customHeight="1" x14ac:dyDescent="0.2">
      <c r="A75" s="124">
        <v>1359</v>
      </c>
      <c r="B75" s="184" t="s">
        <v>718</v>
      </c>
      <c r="C75" s="120">
        <v>0</v>
      </c>
      <c r="D75" s="120">
        <v>0</v>
      </c>
      <c r="E75" s="121"/>
      <c r="F75" s="130"/>
      <c r="G75" s="120"/>
      <c r="H75" s="120"/>
      <c r="I75" s="120"/>
      <c r="J75" s="14">
        <v>50000</v>
      </c>
    </row>
    <row r="76" spans="1:31" s="3" customFormat="1" ht="29.25" customHeight="1" x14ac:dyDescent="0.2">
      <c r="A76" s="124">
        <v>1361</v>
      </c>
      <c r="B76" s="184" t="s">
        <v>717</v>
      </c>
      <c r="C76" s="170">
        <f>SUM(C77:C82)</f>
        <v>8086000</v>
      </c>
      <c r="D76" s="170">
        <f>SUM(D77:D82)</f>
        <v>8086000</v>
      </c>
      <c r="E76" s="121"/>
      <c r="F76" s="130"/>
      <c r="G76" s="120"/>
      <c r="H76" s="120"/>
      <c r="I76" s="120"/>
      <c r="J76" s="14">
        <v>4234305</v>
      </c>
    </row>
    <row r="77" spans="1:31" s="375" customFormat="1" ht="29.25" customHeight="1" x14ac:dyDescent="0.2">
      <c r="A77" s="16"/>
      <c r="B77" s="15" t="s">
        <v>716</v>
      </c>
      <c r="C77" s="126">
        <v>5500000</v>
      </c>
      <c r="D77" s="126">
        <v>5500000</v>
      </c>
      <c r="E77" s="130"/>
      <c r="F77" s="130"/>
      <c r="G77" s="126"/>
      <c r="H77" s="126"/>
      <c r="I77" s="126"/>
      <c r="J77" s="14">
        <v>2796380</v>
      </c>
    </row>
    <row r="78" spans="1:31" ht="29.25" customHeight="1" x14ac:dyDescent="0.2">
      <c r="A78" s="132"/>
      <c r="B78" s="183" t="s">
        <v>715</v>
      </c>
      <c r="C78" s="126">
        <v>400000</v>
      </c>
      <c r="D78" s="126">
        <v>400000</v>
      </c>
      <c r="E78" s="130"/>
      <c r="F78" s="130"/>
      <c r="G78" s="126"/>
      <c r="H78" s="126"/>
      <c r="I78" s="126"/>
      <c r="J78" s="6">
        <v>203060</v>
      </c>
    </row>
    <row r="79" spans="1:31" ht="29.25" customHeight="1" x14ac:dyDescent="0.2">
      <c r="A79" s="132"/>
      <c r="B79" s="185" t="s">
        <v>714</v>
      </c>
      <c r="C79" s="126">
        <v>1000000</v>
      </c>
      <c r="D79" s="126">
        <v>1000000</v>
      </c>
      <c r="E79" s="130"/>
      <c r="F79" s="130"/>
      <c r="G79" s="126"/>
      <c r="H79" s="126"/>
      <c r="I79" s="126"/>
      <c r="J79" s="14">
        <v>535200</v>
      </c>
    </row>
    <row r="80" spans="1:31" s="377" customFormat="1" ht="29.25" customHeight="1" x14ac:dyDescent="0.2">
      <c r="A80" s="237"/>
      <c r="B80" s="155" t="s">
        <v>713</v>
      </c>
      <c r="C80" s="133">
        <v>1000000</v>
      </c>
      <c r="D80" s="133">
        <v>1000000</v>
      </c>
      <c r="E80" s="130"/>
      <c r="F80" s="130"/>
      <c r="G80" s="126"/>
      <c r="H80" s="126"/>
      <c r="I80" s="126"/>
      <c r="J80" s="14">
        <v>563965</v>
      </c>
      <c r="K80" s="378"/>
      <c r="L80" s="378"/>
      <c r="M80" s="378"/>
      <c r="N80" s="378"/>
      <c r="O80" s="378"/>
      <c r="P80" s="378"/>
      <c r="Q80" s="378"/>
      <c r="R80" s="378"/>
      <c r="S80" s="378"/>
      <c r="T80" s="378"/>
      <c r="U80" s="378"/>
      <c r="V80" s="378"/>
      <c r="W80" s="378"/>
      <c r="X80" s="378"/>
      <c r="Y80" s="378"/>
      <c r="Z80" s="378"/>
      <c r="AA80" s="378"/>
      <c r="AB80" s="378"/>
      <c r="AC80" s="378"/>
      <c r="AD80" s="378"/>
      <c r="AE80" s="378"/>
    </row>
    <row r="81" spans="1:10" ht="29.25" customHeight="1" x14ac:dyDescent="0.2">
      <c r="A81" s="132"/>
      <c r="B81" s="185" t="s">
        <v>712</v>
      </c>
      <c r="C81" s="130">
        <v>182000</v>
      </c>
      <c r="D81" s="130">
        <v>182000</v>
      </c>
      <c r="E81" s="130"/>
      <c r="F81" s="130"/>
      <c r="G81" s="126"/>
      <c r="H81" s="126"/>
      <c r="I81" s="126"/>
      <c r="J81" s="14">
        <v>133300</v>
      </c>
    </row>
    <row r="82" spans="1:10" ht="29.25" customHeight="1" x14ac:dyDescent="0.2">
      <c r="A82" s="132"/>
      <c r="B82" s="185" t="s">
        <v>711</v>
      </c>
      <c r="C82" s="126">
        <v>4000</v>
      </c>
      <c r="D82" s="126">
        <v>4000</v>
      </c>
      <c r="E82" s="117"/>
      <c r="F82" s="130"/>
      <c r="G82" s="126"/>
      <c r="H82" s="126"/>
      <c r="I82" s="126"/>
      <c r="J82" s="14">
        <v>2400</v>
      </c>
    </row>
    <row r="83" spans="1:10" ht="29.25" customHeight="1" x14ac:dyDescent="0.2">
      <c r="A83" s="382">
        <v>1381</v>
      </c>
      <c r="B83" s="381" t="s">
        <v>710</v>
      </c>
      <c r="C83" s="120">
        <v>2300000</v>
      </c>
      <c r="D83" s="120">
        <v>2300000</v>
      </c>
      <c r="E83" s="715"/>
      <c r="F83" s="509"/>
      <c r="G83" s="120"/>
      <c r="H83" s="120"/>
      <c r="I83" s="120"/>
      <c r="J83" s="14">
        <v>1149750.6100000001</v>
      </c>
    </row>
    <row r="84" spans="1:10" ht="29.25" customHeight="1" x14ac:dyDescent="0.2">
      <c r="A84" s="381">
        <v>1382</v>
      </c>
      <c r="B84" s="746" t="s">
        <v>1055</v>
      </c>
      <c r="C84" s="120">
        <v>0</v>
      </c>
      <c r="D84" s="120">
        <v>141.77000000000001</v>
      </c>
      <c r="E84" s="744"/>
      <c r="F84" s="509"/>
      <c r="G84" s="120"/>
      <c r="H84" s="120"/>
      <c r="I84" s="120"/>
      <c r="J84" s="14">
        <v>1149750.6100000001</v>
      </c>
    </row>
    <row r="85" spans="1:10" ht="29.25" customHeight="1" x14ac:dyDescent="0.2">
      <c r="A85" s="382">
        <v>1383</v>
      </c>
      <c r="B85" s="381" t="s">
        <v>936</v>
      </c>
      <c r="C85" s="120">
        <v>0</v>
      </c>
      <c r="D85" s="120">
        <f>20125.05</f>
        <v>20125.05</v>
      </c>
      <c r="E85" s="121"/>
      <c r="F85" s="130"/>
      <c r="G85" s="120"/>
      <c r="H85" s="120"/>
      <c r="I85" s="120"/>
      <c r="J85" s="14">
        <v>0</v>
      </c>
    </row>
    <row r="86" spans="1:10" ht="29.25" customHeight="1" x14ac:dyDescent="0.2">
      <c r="A86" s="382">
        <v>1385</v>
      </c>
      <c r="B86" s="381" t="s">
        <v>709</v>
      </c>
      <c r="C86" s="120">
        <v>10400000</v>
      </c>
      <c r="D86" s="120">
        <f>10400000-2400000</f>
        <v>8000000</v>
      </c>
      <c r="E86" s="121"/>
      <c r="F86" s="130"/>
      <c r="G86" s="120"/>
      <c r="H86" s="120"/>
      <c r="I86" s="120"/>
      <c r="J86" s="14">
        <v>4829702.1100000003</v>
      </c>
    </row>
    <row r="87" spans="1:10" s="3" customFormat="1" ht="29.25" customHeight="1" x14ac:dyDescent="0.2">
      <c r="A87" s="124">
        <v>1511</v>
      </c>
      <c r="B87" s="184" t="s">
        <v>708</v>
      </c>
      <c r="C87" s="121">
        <v>12500000</v>
      </c>
      <c r="D87" s="121">
        <v>12500000</v>
      </c>
      <c r="E87" s="120"/>
      <c r="F87" s="126"/>
      <c r="G87" s="120"/>
      <c r="H87" s="120"/>
      <c r="I87" s="120"/>
      <c r="J87" s="14">
        <v>8300002.3099999996</v>
      </c>
    </row>
    <row r="88" spans="1:10" s="3" customFormat="1" ht="29.25" customHeight="1" thickBot="1" x14ac:dyDescent="0.25">
      <c r="A88" s="159"/>
      <c r="B88" s="380"/>
      <c r="C88" s="379"/>
      <c r="D88" s="379"/>
      <c r="E88" s="117"/>
      <c r="F88" s="117"/>
      <c r="G88" s="151"/>
      <c r="H88" s="151"/>
      <c r="I88" s="151"/>
      <c r="J88" s="14"/>
    </row>
    <row r="89" spans="1:10" s="567" customFormat="1" ht="29.25" customHeight="1" thickBot="1" x14ac:dyDescent="0.3">
      <c r="A89" s="565"/>
      <c r="B89" s="388" t="s">
        <v>707</v>
      </c>
      <c r="C89" s="566">
        <f>SUM(C90,C100:C104,C116:C117,C134:C135,C161:C164,C182:C183)</f>
        <v>127407541.26000001</v>
      </c>
      <c r="D89" s="566">
        <f>SUM(D90,D100:D104,D116:D117,D134:D135,D161:D164,D182:D183)</f>
        <v>133639948.64000002</v>
      </c>
      <c r="E89" s="550"/>
      <c r="F89" s="317"/>
      <c r="G89" s="550"/>
      <c r="H89" s="550"/>
      <c r="I89" s="550"/>
      <c r="J89" s="568">
        <v>74829874.079999998</v>
      </c>
    </row>
    <row r="90" spans="1:10" s="3" customFormat="1" ht="29.25" customHeight="1" x14ac:dyDescent="0.2">
      <c r="A90" s="248">
        <v>2111</v>
      </c>
      <c r="B90" s="137" t="s">
        <v>706</v>
      </c>
      <c r="C90" s="217">
        <f>SUM(C92:C99)</f>
        <v>13681500</v>
      </c>
      <c r="D90" s="217">
        <f>SUM(D91:D99)</f>
        <v>12062640</v>
      </c>
      <c r="E90" s="120"/>
      <c r="F90" s="14"/>
      <c r="G90" s="120"/>
      <c r="H90" s="120"/>
      <c r="I90" s="120"/>
      <c r="J90" s="14">
        <v>7277697.2999999998</v>
      </c>
    </row>
    <row r="91" spans="1:10" ht="29.25" customHeight="1" x14ac:dyDescent="0.2">
      <c r="A91" s="123"/>
      <c r="B91" s="749" t="s">
        <v>1056</v>
      </c>
      <c r="C91" s="9">
        <v>0</v>
      </c>
      <c r="D91" s="9">
        <v>1140</v>
      </c>
      <c r="E91" s="127"/>
      <c r="F91" s="127"/>
      <c r="G91" s="126"/>
      <c r="H91" s="126"/>
      <c r="I91" s="126"/>
      <c r="J91" s="14">
        <v>237966</v>
      </c>
    </row>
    <row r="92" spans="1:10" ht="29.25" customHeight="1" x14ac:dyDescent="0.2">
      <c r="A92" s="180"/>
      <c r="B92" s="155" t="s">
        <v>704</v>
      </c>
      <c r="C92" s="9">
        <v>1000000</v>
      </c>
      <c r="D92" s="9">
        <v>1000000</v>
      </c>
      <c r="E92" s="127"/>
      <c r="F92" s="127"/>
      <c r="G92" s="126"/>
      <c r="H92" s="126"/>
      <c r="I92" s="126"/>
      <c r="J92" s="14">
        <v>237966</v>
      </c>
    </row>
    <row r="93" spans="1:10" s="378" customFormat="1" ht="29.25" customHeight="1" x14ac:dyDescent="0.2">
      <c r="A93" s="237"/>
      <c r="B93" s="155" t="s">
        <v>703</v>
      </c>
      <c r="C93" s="133">
        <v>720000</v>
      </c>
      <c r="D93" s="133">
        <f>720000-320000</f>
        <v>400000</v>
      </c>
      <c r="E93" s="130"/>
      <c r="F93" s="130"/>
      <c r="G93" s="126"/>
      <c r="H93" s="126"/>
      <c r="I93" s="126"/>
      <c r="J93" s="14">
        <v>183720.93</v>
      </c>
    </row>
    <row r="94" spans="1:10" ht="29.25" customHeight="1" x14ac:dyDescent="0.2">
      <c r="A94" s="237"/>
      <c r="B94" s="155" t="s">
        <v>701</v>
      </c>
      <c r="C94" s="126">
        <v>5200000</v>
      </c>
      <c r="D94" s="126">
        <f>5200000-1000000</f>
        <v>4200000</v>
      </c>
      <c r="E94" s="130"/>
      <c r="F94" s="130"/>
      <c r="G94" s="126"/>
      <c r="H94" s="126"/>
      <c r="I94" s="126"/>
      <c r="J94" s="14">
        <v>2145511.16</v>
      </c>
    </row>
    <row r="95" spans="1:10" ht="29.25" customHeight="1" x14ac:dyDescent="0.2">
      <c r="A95" s="237"/>
      <c r="B95" s="155" t="s">
        <v>700</v>
      </c>
      <c r="C95" s="126">
        <v>1600000</v>
      </c>
      <c r="D95" s="126">
        <f>1600000-300000</f>
        <v>1300000</v>
      </c>
      <c r="E95" s="130"/>
      <c r="F95" s="130"/>
      <c r="G95" s="126"/>
      <c r="H95" s="126"/>
      <c r="I95" s="126"/>
      <c r="J95" s="14">
        <v>649988.18999999994</v>
      </c>
    </row>
    <row r="96" spans="1:10" ht="30" customHeight="1" x14ac:dyDescent="0.2">
      <c r="A96" s="237"/>
      <c r="B96" s="155" t="s">
        <v>699</v>
      </c>
      <c r="C96" s="126">
        <v>2610000</v>
      </c>
      <c r="D96" s="126">
        <v>2610000</v>
      </c>
      <c r="E96" s="10"/>
      <c r="F96" s="10"/>
      <c r="G96" s="126"/>
      <c r="H96" s="126"/>
      <c r="I96" s="126"/>
      <c r="J96" s="14">
        <v>1339200</v>
      </c>
    </row>
    <row r="97" spans="1:10" ht="30" customHeight="1" x14ac:dyDescent="0.2">
      <c r="A97" s="237"/>
      <c r="B97" s="155" t="s">
        <v>696</v>
      </c>
      <c r="C97" s="126">
        <v>2500000</v>
      </c>
      <c r="D97" s="126">
        <v>2500000</v>
      </c>
      <c r="E97" s="130"/>
      <c r="F97" s="130"/>
      <c r="G97" s="126"/>
      <c r="H97" s="126"/>
      <c r="I97" s="126"/>
      <c r="J97" s="14">
        <v>1134611</v>
      </c>
    </row>
    <row r="98" spans="1:10" ht="30" customHeight="1" x14ac:dyDescent="0.2">
      <c r="A98" s="237"/>
      <c r="B98" s="155" t="s">
        <v>695</v>
      </c>
      <c r="C98" s="126">
        <v>51000</v>
      </c>
      <c r="D98" s="126">
        <v>51000</v>
      </c>
      <c r="E98" s="130"/>
      <c r="F98" s="130"/>
      <c r="G98" s="126"/>
      <c r="H98" s="126"/>
      <c r="I98" s="126"/>
      <c r="J98" s="14">
        <v>0</v>
      </c>
    </row>
    <row r="99" spans="1:10" ht="30" customHeight="1" x14ac:dyDescent="0.2">
      <c r="A99" s="237"/>
      <c r="B99" s="155" t="s">
        <v>694</v>
      </c>
      <c r="C99" s="126">
        <v>500</v>
      </c>
      <c r="D99" s="126">
        <v>500</v>
      </c>
      <c r="E99" s="130"/>
      <c r="F99" s="130"/>
      <c r="G99" s="126"/>
      <c r="H99" s="126"/>
      <c r="I99" s="126"/>
      <c r="J99" s="6">
        <v>99</v>
      </c>
    </row>
    <row r="100" spans="1:10" s="3" customFormat="1" ht="30" customHeight="1" x14ac:dyDescent="0.2">
      <c r="A100" s="180">
        <v>2119</v>
      </c>
      <c r="B100" s="123" t="s">
        <v>693</v>
      </c>
      <c r="C100" s="120">
        <v>1700000</v>
      </c>
      <c r="D100" s="120">
        <v>1700000</v>
      </c>
      <c r="E100" s="121"/>
      <c r="F100" s="130"/>
      <c r="G100" s="120"/>
      <c r="H100" s="120"/>
      <c r="I100" s="120"/>
      <c r="J100" s="14">
        <v>263903.98</v>
      </c>
    </row>
    <row r="101" spans="1:10" s="3" customFormat="1" ht="30" customHeight="1" x14ac:dyDescent="0.2">
      <c r="A101" s="180">
        <v>2122</v>
      </c>
      <c r="B101" s="123" t="s">
        <v>692</v>
      </c>
      <c r="C101" s="120">
        <v>2798840.36</v>
      </c>
      <c r="D101" s="120">
        <f>2798840.36+(25236+27775+35940)+1380+1155128.5+(35680+59184+13752+6298.21+660)</f>
        <v>4159874.07</v>
      </c>
      <c r="E101" s="121"/>
      <c r="F101" s="130"/>
      <c r="G101" s="120"/>
      <c r="H101" s="120"/>
      <c r="I101" s="120"/>
      <c r="J101" s="14">
        <v>668259.12</v>
      </c>
    </row>
    <row r="102" spans="1:10" s="3" customFormat="1" ht="30" customHeight="1" x14ac:dyDescent="0.2">
      <c r="A102" s="180">
        <v>2123</v>
      </c>
      <c r="B102" s="123" t="s">
        <v>1039</v>
      </c>
      <c r="C102" s="120">
        <v>0</v>
      </c>
      <c r="D102" s="120">
        <v>95304.8</v>
      </c>
      <c r="E102" s="121"/>
      <c r="F102" s="130"/>
      <c r="G102" s="120"/>
      <c r="H102" s="120"/>
      <c r="I102" s="120"/>
      <c r="J102" s="14">
        <v>668259.12</v>
      </c>
    </row>
    <row r="103" spans="1:10" s="3" customFormat="1" ht="30" customHeight="1" x14ac:dyDescent="0.2">
      <c r="A103" s="180">
        <v>2131</v>
      </c>
      <c r="B103" s="135" t="s">
        <v>691</v>
      </c>
      <c r="C103" s="120">
        <v>1650000</v>
      </c>
      <c r="D103" s="120">
        <v>1650000</v>
      </c>
      <c r="E103" s="121"/>
      <c r="F103" s="130"/>
      <c r="G103" s="120"/>
      <c r="H103" s="120"/>
      <c r="I103" s="120"/>
      <c r="J103" s="6">
        <v>755602.1</v>
      </c>
    </row>
    <row r="104" spans="1:10" s="3" customFormat="1" ht="30" customHeight="1" x14ac:dyDescent="0.2">
      <c r="A104" s="180">
        <v>2132</v>
      </c>
      <c r="B104" s="123" t="s">
        <v>690</v>
      </c>
      <c r="C104" s="122">
        <f>SUM(C105:C115)</f>
        <v>92969200.900000006</v>
      </c>
      <c r="D104" s="122">
        <f>SUM(D105:D115)</f>
        <v>91642625.969999999</v>
      </c>
      <c r="E104" s="121"/>
      <c r="F104" s="130"/>
      <c r="G104" s="120"/>
      <c r="H104" s="120"/>
      <c r="I104" s="120"/>
      <c r="J104" s="14">
        <v>55921947.020000003</v>
      </c>
    </row>
    <row r="105" spans="1:10" ht="30" customHeight="1" x14ac:dyDescent="0.2">
      <c r="A105" s="237"/>
      <c r="B105" s="155" t="s">
        <v>689</v>
      </c>
      <c r="C105" s="126">
        <v>750000</v>
      </c>
      <c r="D105" s="126">
        <v>750000</v>
      </c>
      <c r="E105" s="130"/>
      <c r="F105" s="130"/>
      <c r="G105" s="126"/>
      <c r="H105" s="126"/>
      <c r="I105" s="126"/>
      <c r="J105" s="14">
        <v>713477</v>
      </c>
    </row>
    <row r="106" spans="1:10" ht="30" customHeight="1" x14ac:dyDescent="0.2">
      <c r="A106" s="237"/>
      <c r="B106" s="155" t="s">
        <v>688</v>
      </c>
      <c r="C106" s="126">
        <v>0</v>
      </c>
      <c r="D106" s="126">
        <f>14858.71</f>
        <v>14858.71</v>
      </c>
      <c r="E106" s="130"/>
      <c r="F106" s="130"/>
      <c r="G106" s="126"/>
      <c r="H106" s="126"/>
      <c r="I106" s="126"/>
      <c r="J106" s="6">
        <v>301</v>
      </c>
    </row>
    <row r="107" spans="1:10" ht="30" customHeight="1" x14ac:dyDescent="0.2">
      <c r="A107" s="237"/>
      <c r="B107" s="155" t="s">
        <v>687</v>
      </c>
      <c r="C107" s="126">
        <v>600000</v>
      </c>
      <c r="D107" s="126">
        <f>600000+(144503.85+88113.51)</f>
        <v>832617.36</v>
      </c>
      <c r="E107" s="130"/>
      <c r="F107" s="130"/>
      <c r="G107" s="126"/>
      <c r="H107" s="126"/>
      <c r="I107" s="126"/>
      <c r="J107" s="14">
        <v>416459.06</v>
      </c>
    </row>
    <row r="108" spans="1:10" ht="30" customHeight="1" x14ac:dyDescent="0.2">
      <c r="A108" s="237"/>
      <c r="B108" s="155" t="s">
        <v>686</v>
      </c>
      <c r="C108" s="126">
        <v>276000</v>
      </c>
      <c r="D108" s="126">
        <f>276000-960+2520</f>
        <v>277560</v>
      </c>
      <c r="E108" s="130"/>
      <c r="F108" s="130"/>
      <c r="G108" s="126"/>
      <c r="H108" s="126"/>
      <c r="I108" s="126"/>
      <c r="J108" s="14">
        <v>275040</v>
      </c>
    </row>
    <row r="109" spans="1:10" ht="30" customHeight="1" x14ac:dyDescent="0.2">
      <c r="A109" s="237"/>
      <c r="B109" s="128" t="s">
        <v>685</v>
      </c>
      <c r="C109" s="126">
        <v>52865000</v>
      </c>
      <c r="D109" s="126">
        <f>52865000-220825</f>
        <v>52644175</v>
      </c>
      <c r="E109" s="130"/>
      <c r="F109" s="130"/>
      <c r="G109" s="126"/>
      <c r="H109" s="126"/>
      <c r="I109" s="126"/>
      <c r="J109" s="6">
        <v>28983938.18</v>
      </c>
    </row>
    <row r="110" spans="1:10" ht="30" customHeight="1" x14ac:dyDescent="0.2">
      <c r="A110" s="237"/>
      <c r="B110" s="155" t="s">
        <v>684</v>
      </c>
      <c r="C110" s="126">
        <f>83405+3+1194792.9</f>
        <v>1278200.8999999999</v>
      </c>
      <c r="D110" s="126">
        <f>83405+3+1194792.9</f>
        <v>1278200.8999999999</v>
      </c>
      <c r="E110" s="130"/>
      <c r="F110" s="130"/>
      <c r="G110" s="126"/>
      <c r="H110" s="126"/>
      <c r="I110" s="126"/>
      <c r="J110" s="14">
        <v>6430</v>
      </c>
    </row>
    <row r="111" spans="1:10" ht="30" customHeight="1" x14ac:dyDescent="0.2">
      <c r="A111" s="237"/>
      <c r="B111" s="155" t="s">
        <v>683</v>
      </c>
      <c r="C111" s="126">
        <v>420000</v>
      </c>
      <c r="D111" s="126">
        <v>420000</v>
      </c>
      <c r="E111" s="130"/>
      <c r="F111" s="130"/>
      <c r="G111" s="126"/>
      <c r="H111" s="126"/>
      <c r="I111" s="126"/>
      <c r="J111" s="6">
        <v>155092.24</v>
      </c>
    </row>
    <row r="112" spans="1:10" ht="30" customHeight="1" x14ac:dyDescent="0.2">
      <c r="A112" s="237"/>
      <c r="B112" s="166" t="s">
        <v>682</v>
      </c>
      <c r="C112" s="126">
        <f>13500000+3000000+240000+20000+746000+216000+134000</f>
        <v>17856000</v>
      </c>
      <c r="D112" s="126">
        <f>(13500000+3000000+240000+20000+746000+216000+134000)-1355324</f>
        <v>16500676</v>
      </c>
      <c r="E112" s="130"/>
      <c r="F112" s="130"/>
      <c r="G112" s="126"/>
      <c r="H112" s="126"/>
      <c r="I112" s="126"/>
      <c r="J112" s="6">
        <v>6470287.54</v>
      </c>
    </row>
    <row r="113" spans="1:10" ht="30" customHeight="1" x14ac:dyDescent="0.2">
      <c r="A113" s="237"/>
      <c r="B113" s="155" t="s">
        <v>681</v>
      </c>
      <c r="C113" s="126">
        <v>18881000</v>
      </c>
      <c r="D113" s="126">
        <f>18881000+538</f>
        <v>18881538</v>
      </c>
      <c r="E113" s="130"/>
      <c r="F113" s="130"/>
      <c r="G113" s="126"/>
      <c r="H113" s="126"/>
      <c r="I113" s="126"/>
      <c r="J113" s="14">
        <v>18881538</v>
      </c>
    </row>
    <row r="114" spans="1:10" ht="30" customHeight="1" x14ac:dyDescent="0.2">
      <c r="A114" s="237"/>
      <c r="B114" s="155" t="s">
        <v>680</v>
      </c>
      <c r="C114" s="126">
        <v>18000</v>
      </c>
      <c r="D114" s="126">
        <v>18000</v>
      </c>
      <c r="E114" s="130"/>
      <c r="F114" s="130"/>
      <c r="G114" s="126"/>
      <c r="H114" s="126"/>
      <c r="I114" s="126"/>
      <c r="J114" s="14">
        <v>9300</v>
      </c>
    </row>
    <row r="115" spans="1:10" ht="30" customHeight="1" x14ac:dyDescent="0.2">
      <c r="A115" s="237"/>
      <c r="B115" s="155" t="s">
        <v>679</v>
      </c>
      <c r="C115" s="126">
        <v>25000</v>
      </c>
      <c r="D115" s="126">
        <v>25000</v>
      </c>
      <c r="E115" s="130"/>
      <c r="F115" s="130"/>
      <c r="G115" s="126"/>
      <c r="H115" s="126"/>
      <c r="I115" s="126"/>
      <c r="J115" s="14">
        <v>10094</v>
      </c>
    </row>
    <row r="116" spans="1:10" s="3" customFormat="1" ht="30" customHeight="1" x14ac:dyDescent="0.2">
      <c r="A116" s="180">
        <v>2141</v>
      </c>
      <c r="B116" s="123" t="s">
        <v>678</v>
      </c>
      <c r="C116" s="120">
        <v>300000</v>
      </c>
      <c r="D116" s="120">
        <f>300000-0.08</f>
        <v>299999.92</v>
      </c>
      <c r="E116" s="121"/>
      <c r="F116" s="130"/>
      <c r="G116" s="120"/>
      <c r="H116" s="120"/>
      <c r="I116" s="120"/>
      <c r="J116" s="14">
        <v>875790.3</v>
      </c>
    </row>
    <row r="117" spans="1:10" s="3" customFormat="1" ht="30" customHeight="1" x14ac:dyDescent="0.2">
      <c r="A117" s="180">
        <v>2212</v>
      </c>
      <c r="B117" s="123" t="s">
        <v>677</v>
      </c>
      <c r="C117" s="122">
        <f>SUM(C118:C133)</f>
        <v>11127000</v>
      </c>
      <c r="D117" s="122">
        <f>SUM(D118:D133)</f>
        <v>11863862.66</v>
      </c>
      <c r="E117" s="121"/>
      <c r="F117" s="130"/>
      <c r="G117" s="120"/>
      <c r="H117" s="120"/>
      <c r="I117" s="120"/>
      <c r="J117" s="14">
        <v>3979679.83</v>
      </c>
    </row>
    <row r="118" spans="1:10" ht="30" customHeight="1" x14ac:dyDescent="0.2">
      <c r="A118" s="237"/>
      <c r="B118" s="155" t="s">
        <v>676</v>
      </c>
      <c r="C118" s="126">
        <v>12000</v>
      </c>
      <c r="D118" s="126">
        <v>12000</v>
      </c>
      <c r="E118" s="130"/>
      <c r="F118" s="130"/>
      <c r="G118" s="126"/>
      <c r="H118" s="126"/>
      <c r="I118" s="126"/>
      <c r="J118" s="14">
        <v>5600</v>
      </c>
    </row>
    <row r="119" spans="1:10" ht="30" customHeight="1" x14ac:dyDescent="0.2">
      <c r="A119" s="237"/>
      <c r="B119" s="155" t="s">
        <v>656</v>
      </c>
      <c r="C119" s="126">
        <v>50000</v>
      </c>
      <c r="D119" s="126">
        <f>50000+4300</f>
        <v>54300</v>
      </c>
      <c r="E119" s="130"/>
      <c r="F119" s="130"/>
      <c r="G119" s="126"/>
      <c r="H119" s="126"/>
      <c r="I119" s="126"/>
      <c r="J119" s="14">
        <v>46100</v>
      </c>
    </row>
    <row r="120" spans="1:10" ht="30" customHeight="1" x14ac:dyDescent="0.2">
      <c r="A120" s="237"/>
      <c r="B120" s="15" t="s">
        <v>951</v>
      </c>
      <c r="C120" s="126">
        <v>0</v>
      </c>
      <c r="D120" s="126">
        <v>10000</v>
      </c>
      <c r="E120" s="130"/>
      <c r="F120" s="130"/>
      <c r="G120" s="126"/>
      <c r="H120" s="126"/>
      <c r="I120" s="126"/>
      <c r="J120" s="14">
        <v>0</v>
      </c>
    </row>
    <row r="121" spans="1:10" ht="30" customHeight="1" x14ac:dyDescent="0.2">
      <c r="A121" s="237"/>
      <c r="B121" s="15" t="s">
        <v>1050</v>
      </c>
      <c r="C121" s="126">
        <v>0</v>
      </c>
      <c r="D121" s="126">
        <f>269297.1</f>
        <v>269297.09999999998</v>
      </c>
      <c r="E121" s="130"/>
      <c r="F121" s="130"/>
      <c r="G121" s="126"/>
      <c r="H121" s="126"/>
      <c r="I121" s="126"/>
      <c r="J121" s="14">
        <v>0</v>
      </c>
    </row>
    <row r="122" spans="1:10" ht="30" customHeight="1" x14ac:dyDescent="0.2">
      <c r="A122" s="237"/>
      <c r="B122" s="155" t="s">
        <v>675</v>
      </c>
      <c r="C122" s="126">
        <v>2000000</v>
      </c>
      <c r="D122" s="126">
        <v>2000000</v>
      </c>
      <c r="E122" s="130"/>
      <c r="F122" s="130"/>
      <c r="G122" s="126"/>
      <c r="H122" s="126"/>
      <c r="I122" s="126"/>
      <c r="J122" s="14">
        <v>924382.13</v>
      </c>
    </row>
    <row r="123" spans="1:10" ht="30" customHeight="1" x14ac:dyDescent="0.2">
      <c r="A123" s="237"/>
      <c r="B123" s="155" t="s">
        <v>674</v>
      </c>
      <c r="C123" s="126">
        <v>8000000</v>
      </c>
      <c r="D123" s="126">
        <v>8000000</v>
      </c>
      <c r="E123" s="130"/>
      <c r="F123" s="130"/>
      <c r="G123" s="126"/>
      <c r="H123" s="126"/>
      <c r="I123" s="126"/>
      <c r="J123" s="14">
        <v>2585005.66</v>
      </c>
    </row>
    <row r="124" spans="1:10" ht="30" customHeight="1" x14ac:dyDescent="0.2">
      <c r="A124" s="237"/>
      <c r="B124" s="15" t="s">
        <v>1061</v>
      </c>
      <c r="C124" s="126">
        <v>0</v>
      </c>
      <c r="D124" s="126">
        <v>6750</v>
      </c>
      <c r="E124" s="130"/>
      <c r="F124" s="130"/>
      <c r="G124" s="126"/>
      <c r="H124" s="126"/>
      <c r="I124" s="126"/>
      <c r="J124" s="14">
        <v>0</v>
      </c>
    </row>
    <row r="125" spans="1:10" ht="30" customHeight="1" x14ac:dyDescent="0.2">
      <c r="A125" s="237"/>
      <c r="B125" s="15" t="s">
        <v>1063</v>
      </c>
      <c r="C125" s="126">
        <v>0</v>
      </c>
      <c r="D125" s="126">
        <v>42348.85</v>
      </c>
      <c r="E125" s="130"/>
      <c r="F125" s="130"/>
      <c r="G125" s="126"/>
      <c r="H125" s="126"/>
      <c r="I125" s="126"/>
      <c r="J125" s="14">
        <v>0</v>
      </c>
    </row>
    <row r="126" spans="1:10" ht="30" customHeight="1" x14ac:dyDescent="0.2">
      <c r="A126" s="237"/>
      <c r="B126" s="15" t="s">
        <v>940</v>
      </c>
      <c r="C126" s="126">
        <v>0</v>
      </c>
      <c r="D126" s="126">
        <f>143744.55+2310</f>
        <v>146054.54999999999</v>
      </c>
      <c r="E126" s="130"/>
      <c r="F126" s="130"/>
      <c r="G126" s="126"/>
      <c r="H126" s="126"/>
      <c r="I126" s="126"/>
      <c r="J126" s="14">
        <v>0</v>
      </c>
    </row>
    <row r="127" spans="1:10" ht="30" customHeight="1" x14ac:dyDescent="0.2">
      <c r="A127" s="237"/>
      <c r="B127" s="15" t="s">
        <v>1051</v>
      </c>
      <c r="C127" s="126">
        <v>0</v>
      </c>
      <c r="D127" s="126">
        <f>16940+(120000+15672.16)</f>
        <v>152612.16</v>
      </c>
      <c r="E127" s="130"/>
      <c r="F127" s="130"/>
      <c r="G127" s="126"/>
      <c r="H127" s="126"/>
      <c r="I127" s="126"/>
      <c r="J127" s="14">
        <v>3726.8</v>
      </c>
    </row>
    <row r="128" spans="1:10" ht="30" customHeight="1" x14ac:dyDescent="0.2">
      <c r="A128" s="237"/>
      <c r="B128" s="155" t="s">
        <v>671</v>
      </c>
      <c r="C128" s="9">
        <v>0</v>
      </c>
      <c r="D128" s="9">
        <v>4000</v>
      </c>
      <c r="E128" s="130"/>
      <c r="F128" s="130"/>
      <c r="G128" s="126"/>
      <c r="H128" s="126"/>
      <c r="I128" s="126"/>
      <c r="J128" s="14">
        <v>5000</v>
      </c>
    </row>
    <row r="129" spans="1:44" ht="30" customHeight="1" x14ac:dyDescent="0.2">
      <c r="A129" s="237"/>
      <c r="B129" s="155" t="s">
        <v>1071</v>
      </c>
      <c r="C129" s="9">
        <v>0</v>
      </c>
      <c r="D129" s="9">
        <v>1500</v>
      </c>
      <c r="E129" s="130"/>
      <c r="F129" s="130"/>
      <c r="G129" s="126"/>
      <c r="H129" s="126"/>
      <c r="I129" s="126"/>
      <c r="J129" s="14">
        <v>5000</v>
      </c>
    </row>
    <row r="130" spans="1:44" ht="30" customHeight="1" x14ac:dyDescent="0.2">
      <c r="A130" s="237"/>
      <c r="B130" s="155" t="s">
        <v>670</v>
      </c>
      <c r="C130" s="126">
        <v>650000</v>
      </c>
      <c r="D130" s="126">
        <v>650000</v>
      </c>
      <c r="E130" s="130"/>
      <c r="F130" s="130"/>
      <c r="G130" s="126"/>
      <c r="H130" s="126"/>
      <c r="I130" s="126"/>
      <c r="J130" s="14">
        <v>212384</v>
      </c>
    </row>
    <row r="131" spans="1:44" ht="30" customHeight="1" x14ac:dyDescent="0.2">
      <c r="A131" s="237"/>
      <c r="B131" s="155" t="s">
        <v>669</v>
      </c>
      <c r="C131" s="126">
        <v>350000</v>
      </c>
      <c r="D131" s="126">
        <f>350000+100000</f>
        <v>450000</v>
      </c>
      <c r="E131" s="130"/>
      <c r="F131" s="130"/>
      <c r="G131" s="126"/>
      <c r="H131" s="126"/>
      <c r="I131" s="126"/>
      <c r="J131" s="14">
        <v>163981.24</v>
      </c>
    </row>
    <row r="132" spans="1:44" s="377" customFormat="1" ht="30" customHeight="1" x14ac:dyDescent="0.2">
      <c r="A132" s="16"/>
      <c r="B132" s="15" t="s">
        <v>668</v>
      </c>
      <c r="C132" s="9">
        <v>65000</v>
      </c>
      <c r="D132" s="9">
        <v>65000</v>
      </c>
      <c r="E132" s="130"/>
      <c r="F132" s="130"/>
      <c r="G132" s="126"/>
      <c r="H132" s="126"/>
      <c r="I132" s="126"/>
      <c r="J132" s="14">
        <v>33500</v>
      </c>
      <c r="K132" s="375"/>
      <c r="L132" s="375"/>
      <c r="M132" s="375"/>
      <c r="N132" s="375"/>
      <c r="O132" s="375"/>
      <c r="P132" s="375"/>
      <c r="Q132" s="375"/>
      <c r="R132" s="375"/>
      <c r="S132" s="375"/>
      <c r="T132" s="375"/>
      <c r="U132" s="375"/>
      <c r="V132" s="375"/>
      <c r="W132" s="375"/>
      <c r="X132" s="375"/>
      <c r="Y132" s="375"/>
      <c r="Z132" s="375"/>
      <c r="AA132" s="375"/>
      <c r="AB132" s="375"/>
      <c r="AC132" s="375"/>
      <c r="AD132" s="375"/>
      <c r="AE132" s="375"/>
      <c r="AF132" s="375"/>
      <c r="AG132" s="375"/>
      <c r="AH132" s="375"/>
      <c r="AI132" s="375"/>
      <c r="AJ132" s="375"/>
      <c r="AK132" s="375"/>
      <c r="AL132" s="375"/>
      <c r="AM132" s="375"/>
      <c r="AN132" s="375"/>
      <c r="AO132" s="375"/>
      <c r="AP132" s="375"/>
      <c r="AQ132" s="375"/>
      <c r="AR132" s="375"/>
    </row>
    <row r="133" spans="1:44" s="377" customFormat="1" ht="30" customHeight="1" x14ac:dyDescent="0.2">
      <c r="A133" s="16"/>
      <c r="B133" s="15" t="s">
        <v>942</v>
      </c>
      <c r="C133" s="9">
        <v>0</v>
      </c>
      <c r="D133" s="9">
        <v>0</v>
      </c>
      <c r="E133" s="130"/>
      <c r="F133" s="130"/>
      <c r="G133" s="126"/>
      <c r="H133" s="126"/>
      <c r="I133" s="126"/>
      <c r="J133" s="14">
        <v>0</v>
      </c>
      <c r="K133" s="375"/>
      <c r="L133" s="375"/>
      <c r="M133" s="375"/>
      <c r="N133" s="375"/>
      <c r="O133" s="375"/>
      <c r="P133" s="375"/>
      <c r="Q133" s="375"/>
      <c r="R133" s="375"/>
      <c r="S133" s="375"/>
      <c r="T133" s="375"/>
      <c r="U133" s="375"/>
      <c r="V133" s="375"/>
      <c r="W133" s="375"/>
      <c r="X133" s="375"/>
      <c r="Y133" s="375"/>
      <c r="Z133" s="375"/>
      <c r="AA133" s="375"/>
      <c r="AB133" s="375"/>
      <c r="AC133" s="375"/>
      <c r="AD133" s="375"/>
      <c r="AE133" s="375"/>
      <c r="AF133" s="375"/>
      <c r="AG133" s="375"/>
      <c r="AH133" s="375"/>
      <c r="AI133" s="375"/>
      <c r="AJ133" s="375"/>
      <c r="AK133" s="375"/>
      <c r="AL133" s="375"/>
      <c r="AM133" s="375"/>
      <c r="AN133" s="375"/>
      <c r="AO133" s="375"/>
      <c r="AP133" s="375"/>
      <c r="AQ133" s="375"/>
      <c r="AR133" s="375"/>
    </row>
    <row r="134" spans="1:44" s="3" customFormat="1" ht="30" customHeight="1" x14ac:dyDescent="0.2">
      <c r="A134" s="180">
        <v>2222</v>
      </c>
      <c r="B134" s="123" t="s">
        <v>905</v>
      </c>
      <c r="C134" s="120">
        <v>0</v>
      </c>
      <c r="D134" s="120">
        <f>84689.93</f>
        <v>84689.93</v>
      </c>
      <c r="E134" s="121"/>
      <c r="F134" s="130"/>
      <c r="G134" s="120"/>
      <c r="H134" s="120"/>
      <c r="I134" s="120"/>
      <c r="J134" s="14">
        <v>18066.169999999998</v>
      </c>
    </row>
    <row r="135" spans="1:44" s="375" customFormat="1" ht="30" customHeight="1" x14ac:dyDescent="0.2">
      <c r="A135" s="20">
        <v>2229</v>
      </c>
      <c r="B135" s="19" t="s">
        <v>667</v>
      </c>
      <c r="C135" s="25">
        <f>SUM(C136:C154)</f>
        <v>0</v>
      </c>
      <c r="D135" s="25">
        <f>SUM(D136:D160)</f>
        <v>5766760.9100000001</v>
      </c>
      <c r="E135" s="121"/>
      <c r="F135" s="130"/>
      <c r="G135" s="120"/>
      <c r="H135" s="120"/>
      <c r="I135" s="120"/>
      <c r="J135" s="14">
        <v>1929979.82</v>
      </c>
      <c r="K135" s="376"/>
    </row>
    <row r="136" spans="1:44" s="375" customFormat="1" ht="30" customHeight="1" x14ac:dyDescent="0.2">
      <c r="A136" s="15"/>
      <c r="B136" s="15" t="s">
        <v>875</v>
      </c>
      <c r="C136" s="126">
        <v>0</v>
      </c>
      <c r="D136" s="126">
        <f>(65834.23+140191.92)</f>
        <v>206026.15000000002</v>
      </c>
      <c r="E136" s="10"/>
      <c r="F136" s="10"/>
      <c r="G136" s="126"/>
      <c r="H136" s="126"/>
      <c r="I136" s="126"/>
      <c r="J136" s="351">
        <v>255545.73</v>
      </c>
      <c r="K136" s="376"/>
    </row>
    <row r="137" spans="1:44" ht="30" customHeight="1" x14ac:dyDescent="0.2">
      <c r="A137" s="185"/>
      <c r="B137" s="185" t="s">
        <v>934</v>
      </c>
      <c r="C137" s="126">
        <v>0</v>
      </c>
      <c r="D137" s="126">
        <f>26490</f>
        <v>26490</v>
      </c>
      <c r="E137" s="371"/>
      <c r="F137" s="370"/>
      <c r="G137" s="126"/>
      <c r="H137" s="126"/>
      <c r="I137" s="126"/>
      <c r="J137" s="351">
        <v>21400</v>
      </c>
      <c r="K137" s="341"/>
    </row>
    <row r="138" spans="1:44" s="375" customFormat="1" ht="30" customHeight="1" x14ac:dyDescent="0.2">
      <c r="A138" s="15"/>
      <c r="B138" s="15" t="s">
        <v>876</v>
      </c>
      <c r="C138" s="126">
        <v>0</v>
      </c>
      <c r="D138" s="126">
        <f>(308971.67+25523.77+77151.21+30113.25)</f>
        <v>441759.9</v>
      </c>
      <c r="E138" s="371"/>
      <c r="F138" s="370"/>
      <c r="G138" s="126"/>
      <c r="H138" s="126"/>
      <c r="I138" s="126"/>
      <c r="J138" s="351">
        <v>447640.82</v>
      </c>
      <c r="K138" s="376"/>
    </row>
    <row r="139" spans="1:44" s="375" customFormat="1" ht="30" customHeight="1" x14ac:dyDescent="0.2">
      <c r="A139" s="15"/>
      <c r="B139" s="15" t="s">
        <v>999</v>
      </c>
      <c r="C139" s="126">
        <v>0</v>
      </c>
      <c r="D139" s="126">
        <v>80876.25</v>
      </c>
      <c r="E139" s="371"/>
      <c r="F139" s="294"/>
      <c r="G139" s="126"/>
      <c r="H139" s="126"/>
      <c r="I139" s="126"/>
      <c r="J139" s="296">
        <v>36783</v>
      </c>
      <c r="K139" s="376"/>
    </row>
    <row r="140" spans="1:44" s="375" customFormat="1" ht="30" customHeight="1" x14ac:dyDescent="0.2">
      <c r="A140" s="15"/>
      <c r="B140" s="15" t="s">
        <v>996</v>
      </c>
      <c r="C140" s="126">
        <v>0</v>
      </c>
      <c r="D140" s="126">
        <f>148831.2</f>
        <v>148831.20000000001</v>
      </c>
      <c r="E140" s="371"/>
      <c r="F140" s="294"/>
      <c r="G140" s="126"/>
      <c r="H140" s="126"/>
      <c r="I140" s="126"/>
      <c r="J140" s="296">
        <v>36783</v>
      </c>
      <c r="K140" s="376"/>
    </row>
    <row r="141" spans="1:44" s="375" customFormat="1" ht="30" customHeight="1" x14ac:dyDescent="0.2">
      <c r="A141" s="15"/>
      <c r="B141" s="15" t="s">
        <v>1003</v>
      </c>
      <c r="C141" s="126">
        <v>0</v>
      </c>
      <c r="D141" s="126">
        <f>50240.4</f>
        <v>50240.4</v>
      </c>
      <c r="E141" s="371"/>
      <c r="F141" s="294"/>
      <c r="G141" s="126"/>
      <c r="H141" s="126"/>
      <c r="I141" s="126"/>
      <c r="J141" s="296">
        <v>36783</v>
      </c>
      <c r="K141" s="376"/>
    </row>
    <row r="142" spans="1:44" s="375" customFormat="1" ht="30" customHeight="1" x14ac:dyDescent="0.2">
      <c r="A142" s="15"/>
      <c r="B142" s="15" t="s">
        <v>1023</v>
      </c>
      <c r="C142" s="126">
        <v>0</v>
      </c>
      <c r="D142" s="126">
        <v>3015</v>
      </c>
      <c r="E142" s="371"/>
      <c r="F142" s="294"/>
      <c r="G142" s="126"/>
      <c r="H142" s="126"/>
      <c r="I142" s="126"/>
      <c r="J142" s="296">
        <v>36783</v>
      </c>
      <c r="K142" s="376"/>
    </row>
    <row r="143" spans="1:44" s="375" customFormat="1" ht="30" customHeight="1" x14ac:dyDescent="0.2">
      <c r="A143" s="15"/>
      <c r="B143" s="15" t="s">
        <v>922</v>
      </c>
      <c r="C143" s="126">
        <v>0</v>
      </c>
      <c r="D143" s="126">
        <v>16912</v>
      </c>
      <c r="E143" s="371"/>
      <c r="F143" s="294"/>
      <c r="G143" s="126"/>
      <c r="H143" s="126"/>
      <c r="I143" s="126"/>
      <c r="J143" s="296">
        <v>36783</v>
      </c>
      <c r="K143" s="376"/>
    </row>
    <row r="144" spans="1:44" s="375" customFormat="1" ht="30" customHeight="1" x14ac:dyDescent="0.2">
      <c r="A144" s="15"/>
      <c r="B144" s="15" t="s">
        <v>1028</v>
      </c>
      <c r="C144" s="126">
        <v>0</v>
      </c>
      <c r="D144" s="126">
        <v>115408</v>
      </c>
      <c r="E144" s="371"/>
      <c r="F144" s="294"/>
      <c r="G144" s="126"/>
      <c r="H144" s="126"/>
      <c r="I144" s="126"/>
      <c r="J144" s="296">
        <v>36783</v>
      </c>
      <c r="K144" s="376"/>
    </row>
    <row r="145" spans="1:11" ht="30" customHeight="1" x14ac:dyDescent="0.2">
      <c r="A145" s="185"/>
      <c r="B145" s="185" t="s">
        <v>935</v>
      </c>
      <c r="C145" s="126">
        <v>0</v>
      </c>
      <c r="D145" s="126">
        <f>122549</f>
        <v>122549</v>
      </c>
      <c r="E145" s="371"/>
      <c r="F145" s="370"/>
      <c r="G145" s="126"/>
      <c r="H145" s="126"/>
      <c r="I145" s="126"/>
      <c r="J145" s="351">
        <v>21400</v>
      </c>
      <c r="K145" s="341"/>
    </row>
    <row r="146" spans="1:11" s="375" customFormat="1" ht="30" customHeight="1" x14ac:dyDescent="0.2">
      <c r="A146" s="15"/>
      <c r="B146" s="15" t="s">
        <v>877</v>
      </c>
      <c r="C146" s="126">
        <v>0</v>
      </c>
      <c r="D146" s="126">
        <v>58335.59</v>
      </c>
      <c r="E146" s="371"/>
      <c r="F146" s="370"/>
      <c r="G146" s="126"/>
      <c r="H146" s="126"/>
      <c r="I146" s="126"/>
      <c r="J146" s="351">
        <v>26963.03</v>
      </c>
      <c r="K146" s="376"/>
    </row>
    <row r="147" spans="1:11" s="375" customFormat="1" ht="30" customHeight="1" x14ac:dyDescent="0.2">
      <c r="A147" s="15"/>
      <c r="B147" s="15" t="s">
        <v>878</v>
      </c>
      <c r="C147" s="126">
        <v>0</v>
      </c>
      <c r="D147" s="126">
        <v>92743.77</v>
      </c>
      <c r="E147" s="371"/>
      <c r="F147" s="370"/>
      <c r="G147" s="126"/>
      <c r="H147" s="126"/>
      <c r="I147" s="126"/>
      <c r="J147" s="351">
        <v>168035.37</v>
      </c>
      <c r="K147" s="376"/>
    </row>
    <row r="148" spans="1:11" s="375" customFormat="1" ht="30" customHeight="1" x14ac:dyDescent="0.2">
      <c r="A148" s="15"/>
      <c r="B148" s="15" t="s">
        <v>943</v>
      </c>
      <c r="C148" s="126">
        <v>0</v>
      </c>
      <c r="D148" s="126">
        <f>96359</f>
        <v>96359</v>
      </c>
      <c r="E148" s="371"/>
      <c r="F148" s="370"/>
      <c r="G148" s="126"/>
      <c r="H148" s="126"/>
      <c r="I148" s="126"/>
      <c r="J148" s="351">
        <v>0</v>
      </c>
      <c r="K148" s="376"/>
    </row>
    <row r="149" spans="1:11" s="375" customFormat="1" ht="30" customHeight="1" x14ac:dyDescent="0.2">
      <c r="A149" s="15"/>
      <c r="B149" s="15" t="s">
        <v>879</v>
      </c>
      <c r="C149" s="126">
        <v>0</v>
      </c>
      <c r="D149" s="126">
        <v>250414</v>
      </c>
      <c r="E149" s="371"/>
      <c r="F149" s="370"/>
      <c r="G149" s="126"/>
      <c r="H149" s="126"/>
      <c r="I149" s="126"/>
      <c r="J149" s="351">
        <v>212389.22</v>
      </c>
      <c r="K149" s="376"/>
    </row>
    <row r="150" spans="1:11" ht="30" customHeight="1" x14ac:dyDescent="0.2">
      <c r="A150" s="185"/>
      <c r="B150" s="185" t="s">
        <v>882</v>
      </c>
      <c r="C150" s="126">
        <v>0</v>
      </c>
      <c r="D150" s="126">
        <v>2888353.24</v>
      </c>
      <c r="E150" s="371"/>
      <c r="F150" s="370"/>
      <c r="G150" s="126"/>
      <c r="H150" s="126"/>
      <c r="I150" s="126"/>
      <c r="J150" s="351">
        <v>532595.15</v>
      </c>
      <c r="K150" s="341"/>
    </row>
    <row r="151" spans="1:11" ht="30" customHeight="1" x14ac:dyDescent="0.2">
      <c r="A151" s="185"/>
      <c r="B151" s="185" t="s">
        <v>932</v>
      </c>
      <c r="C151" s="126">
        <v>0</v>
      </c>
      <c r="D151" s="126">
        <f>(503779.56+214977+2616.8+37565+58168)</f>
        <v>817106.3600000001</v>
      </c>
      <c r="E151" s="371"/>
      <c r="F151" s="370"/>
      <c r="G151" s="126"/>
      <c r="H151" s="126"/>
      <c r="I151" s="126"/>
      <c r="J151" s="351">
        <v>196776</v>
      </c>
      <c r="K151" s="341"/>
    </row>
    <row r="152" spans="1:11" ht="30" customHeight="1" x14ac:dyDescent="0.2">
      <c r="A152" s="185"/>
      <c r="B152" s="185" t="s">
        <v>933</v>
      </c>
      <c r="C152" s="126">
        <v>0</v>
      </c>
      <c r="D152" s="126">
        <f>6060</f>
        <v>6060</v>
      </c>
      <c r="E152" s="371"/>
      <c r="F152" s="370"/>
      <c r="G152" s="126"/>
      <c r="H152" s="126"/>
      <c r="I152" s="126"/>
      <c r="J152" s="351">
        <v>2300</v>
      </c>
      <c r="K152" s="341"/>
    </row>
    <row r="153" spans="1:11" ht="30" customHeight="1" x14ac:dyDescent="0.2">
      <c r="A153" s="185"/>
      <c r="B153" s="185" t="s">
        <v>1065</v>
      </c>
      <c r="C153" s="126">
        <v>0</v>
      </c>
      <c r="D153" s="126">
        <v>1908</v>
      </c>
      <c r="E153" s="371"/>
      <c r="F153" s="370"/>
      <c r="G153" s="126"/>
      <c r="H153" s="126"/>
      <c r="I153" s="126"/>
      <c r="J153" s="351">
        <v>0</v>
      </c>
      <c r="K153" s="341"/>
    </row>
    <row r="154" spans="1:11" ht="30" customHeight="1" x14ac:dyDescent="0.2">
      <c r="A154" s="185"/>
      <c r="B154" s="185" t="s">
        <v>662</v>
      </c>
      <c r="C154" s="126">
        <v>0</v>
      </c>
      <c r="D154" s="126">
        <f>(111+3000)</f>
        <v>3111</v>
      </c>
      <c r="E154" s="371"/>
      <c r="F154" s="370"/>
      <c r="G154" s="126"/>
      <c r="H154" s="126"/>
      <c r="I154" s="126"/>
      <c r="J154" s="351">
        <v>22557.5</v>
      </c>
      <c r="K154" s="341"/>
    </row>
    <row r="155" spans="1:11" ht="30" customHeight="1" x14ac:dyDescent="0.2">
      <c r="A155" s="185"/>
      <c r="B155" s="185" t="s">
        <v>1066</v>
      </c>
      <c r="C155" s="126">
        <v>0</v>
      </c>
      <c r="D155" s="126">
        <v>11302</v>
      </c>
      <c r="E155" s="371"/>
      <c r="F155" s="370"/>
      <c r="G155" s="126"/>
      <c r="H155" s="126"/>
      <c r="I155" s="126"/>
      <c r="J155" s="351">
        <v>0</v>
      </c>
      <c r="K155" s="341"/>
    </row>
    <row r="156" spans="1:11" ht="30" customHeight="1" x14ac:dyDescent="0.2">
      <c r="A156" s="185"/>
      <c r="B156" s="185" t="s">
        <v>1067</v>
      </c>
      <c r="C156" s="126">
        <v>0</v>
      </c>
      <c r="D156" s="126">
        <v>4647</v>
      </c>
      <c r="E156" s="371"/>
      <c r="F156" s="370"/>
      <c r="G156" s="126"/>
      <c r="H156" s="126"/>
      <c r="I156" s="126"/>
      <c r="J156" s="351">
        <v>0</v>
      </c>
      <c r="K156" s="341"/>
    </row>
    <row r="157" spans="1:11" ht="30" customHeight="1" x14ac:dyDescent="0.2">
      <c r="A157" s="185"/>
      <c r="B157" s="185" t="s">
        <v>1068</v>
      </c>
      <c r="C157" s="126">
        <v>0</v>
      </c>
      <c r="D157" s="126">
        <v>127000</v>
      </c>
      <c r="E157" s="371"/>
      <c r="F157" s="370"/>
      <c r="G157" s="126"/>
      <c r="H157" s="126"/>
      <c r="I157" s="126"/>
      <c r="J157" s="351">
        <v>0</v>
      </c>
      <c r="K157" s="341"/>
    </row>
    <row r="158" spans="1:11" ht="30" customHeight="1" x14ac:dyDescent="0.2">
      <c r="A158" s="185"/>
      <c r="B158" s="185" t="s">
        <v>1069</v>
      </c>
      <c r="C158" s="126">
        <v>0</v>
      </c>
      <c r="D158" s="126">
        <v>80648</v>
      </c>
      <c r="E158" s="371"/>
      <c r="F158" s="370"/>
      <c r="G158" s="126"/>
      <c r="H158" s="126"/>
      <c r="I158" s="126"/>
      <c r="J158" s="351">
        <v>0</v>
      </c>
      <c r="K158" s="341"/>
    </row>
    <row r="159" spans="1:11" ht="30" customHeight="1" x14ac:dyDescent="0.2">
      <c r="A159" s="185"/>
      <c r="B159" s="185" t="s">
        <v>1070</v>
      </c>
      <c r="C159" s="126">
        <v>0</v>
      </c>
      <c r="D159" s="126">
        <v>108240.05</v>
      </c>
      <c r="E159" s="371"/>
      <c r="F159" s="370"/>
      <c r="G159" s="126"/>
      <c r="H159" s="126"/>
      <c r="I159" s="126"/>
      <c r="J159" s="351">
        <v>0</v>
      </c>
      <c r="K159" s="341"/>
    </row>
    <row r="160" spans="1:11" ht="30" customHeight="1" x14ac:dyDescent="0.2">
      <c r="A160" s="185"/>
      <c r="B160" s="185" t="s">
        <v>1072</v>
      </c>
      <c r="C160" s="126">
        <v>0</v>
      </c>
      <c r="D160" s="126">
        <v>8425</v>
      </c>
      <c r="E160" s="371"/>
      <c r="F160" s="370"/>
      <c r="G160" s="126"/>
      <c r="H160" s="126"/>
      <c r="I160" s="126"/>
      <c r="J160" s="351">
        <v>0</v>
      </c>
      <c r="K160" s="341"/>
    </row>
    <row r="161" spans="1:10" ht="30" customHeight="1" x14ac:dyDescent="0.2">
      <c r="A161" s="180">
        <v>2310</v>
      </c>
      <c r="B161" s="123" t="s">
        <v>661</v>
      </c>
      <c r="C161" s="120">
        <v>0</v>
      </c>
      <c r="D161" s="120">
        <f>49000+9075</f>
        <v>58075</v>
      </c>
      <c r="E161" s="533"/>
      <c r="F161" s="370"/>
      <c r="G161" s="120"/>
      <c r="H161" s="120"/>
      <c r="I161" s="120"/>
      <c r="J161" s="351">
        <v>1746</v>
      </c>
    </row>
    <row r="162" spans="1:10" ht="30" customHeight="1" x14ac:dyDescent="0.2">
      <c r="A162" s="180">
        <v>2321</v>
      </c>
      <c r="B162" s="123" t="s">
        <v>660</v>
      </c>
      <c r="C162" s="120">
        <v>150000</v>
      </c>
      <c r="D162" s="120">
        <f>150000-100000-50000+150000+35000</f>
        <v>185000</v>
      </c>
      <c r="E162" s="481"/>
      <c r="F162" s="294"/>
      <c r="G162" s="120"/>
      <c r="H162" s="120"/>
      <c r="I162" s="120"/>
      <c r="J162" s="296">
        <v>57200</v>
      </c>
    </row>
    <row r="163" spans="1:10" ht="30" customHeight="1" x14ac:dyDescent="0.2">
      <c r="A163" s="180">
        <v>2322</v>
      </c>
      <c r="B163" s="123" t="s">
        <v>659</v>
      </c>
      <c r="C163" s="120">
        <v>0</v>
      </c>
      <c r="D163" s="120">
        <f>8732+15883+(35845+6600+20000)+49991+(140582+10495)</f>
        <v>288128</v>
      </c>
      <c r="E163" s="481"/>
      <c r="G163" s="120"/>
      <c r="H163" s="120"/>
      <c r="I163" s="120"/>
      <c r="J163" s="296">
        <v>43232.39</v>
      </c>
    </row>
    <row r="164" spans="1:10" s="3" customFormat="1" ht="30" customHeight="1" x14ac:dyDescent="0.2">
      <c r="A164" s="180">
        <v>2324</v>
      </c>
      <c r="B164" s="123" t="s">
        <v>658</v>
      </c>
      <c r="C164" s="122">
        <f>SUM(C165:C181)</f>
        <v>2671000</v>
      </c>
      <c r="D164" s="122">
        <f>SUM(D165:D181)</f>
        <v>3078011.48</v>
      </c>
      <c r="E164" s="481"/>
      <c r="F164" s="294"/>
      <c r="G164" s="120"/>
      <c r="H164" s="120"/>
      <c r="I164" s="120"/>
      <c r="J164" s="296">
        <v>2120496.59</v>
      </c>
    </row>
    <row r="165" spans="1:10" s="3" customFormat="1" ht="30" customHeight="1" x14ac:dyDescent="0.2">
      <c r="A165" s="180"/>
      <c r="B165" s="665" t="s">
        <v>906</v>
      </c>
      <c r="C165" s="126">
        <v>0</v>
      </c>
      <c r="D165" s="126">
        <v>1267</v>
      </c>
      <c r="E165" s="371"/>
      <c r="F165" s="294"/>
      <c r="G165" s="126"/>
      <c r="H165" s="126"/>
      <c r="I165" s="126"/>
      <c r="J165" s="296">
        <v>0</v>
      </c>
    </row>
    <row r="166" spans="1:10" s="3" customFormat="1" ht="30" customHeight="1" x14ac:dyDescent="0.2">
      <c r="A166" s="180"/>
      <c r="B166" s="131" t="s">
        <v>657</v>
      </c>
      <c r="C166" s="126">
        <v>8000</v>
      </c>
      <c r="D166" s="126">
        <f>8000+812.69</f>
        <v>8812.69</v>
      </c>
      <c r="E166" s="371"/>
      <c r="F166" s="294"/>
      <c r="G166" s="126"/>
      <c r="H166" s="126"/>
      <c r="I166" s="126"/>
      <c r="J166" s="296">
        <v>5000</v>
      </c>
    </row>
    <row r="167" spans="1:10" s="3" customFormat="1" ht="30" customHeight="1" x14ac:dyDescent="0.2">
      <c r="A167" s="180"/>
      <c r="B167" s="131" t="s">
        <v>656</v>
      </c>
      <c r="C167" s="126">
        <v>30000</v>
      </c>
      <c r="D167" s="126">
        <v>30000</v>
      </c>
      <c r="E167" s="10"/>
      <c r="F167" s="515"/>
      <c r="G167" s="126"/>
      <c r="H167" s="126"/>
      <c r="I167" s="126"/>
      <c r="J167" s="14">
        <v>23300</v>
      </c>
    </row>
    <row r="168" spans="1:10" s="3" customFormat="1" ht="30" customHeight="1" x14ac:dyDescent="0.2">
      <c r="A168" s="180"/>
      <c r="B168" s="131" t="s">
        <v>655</v>
      </c>
      <c r="C168" s="126">
        <v>250000</v>
      </c>
      <c r="D168" s="126">
        <v>250000</v>
      </c>
      <c r="E168" s="10"/>
      <c r="F168" s="515"/>
      <c r="G168" s="126"/>
      <c r="H168" s="126"/>
      <c r="I168" s="126"/>
      <c r="J168" s="14">
        <v>102127.44</v>
      </c>
    </row>
    <row r="169" spans="1:10" s="3" customFormat="1" ht="30" customHeight="1" x14ac:dyDescent="0.2">
      <c r="A169" s="180"/>
      <c r="B169" s="131" t="s">
        <v>1060</v>
      </c>
      <c r="C169" s="126">
        <v>0</v>
      </c>
      <c r="D169" s="126">
        <v>18042.79</v>
      </c>
      <c r="E169" s="10"/>
      <c r="F169" s="130"/>
      <c r="G169" s="126"/>
      <c r="H169" s="126"/>
      <c r="I169" s="126"/>
      <c r="J169" s="14">
        <v>210100.89</v>
      </c>
    </row>
    <row r="170" spans="1:10" s="3" customFormat="1" ht="30" customHeight="1" x14ac:dyDescent="0.2">
      <c r="A170" s="180"/>
      <c r="B170" s="131" t="s">
        <v>654</v>
      </c>
      <c r="C170" s="126">
        <v>200000</v>
      </c>
      <c r="D170" s="126">
        <f>200000+80840+59160+80000</f>
        <v>420000</v>
      </c>
      <c r="E170" s="10"/>
      <c r="F170" s="130"/>
      <c r="G170" s="126"/>
      <c r="H170" s="126"/>
      <c r="I170" s="126"/>
      <c r="J170" s="14">
        <v>210100.89</v>
      </c>
    </row>
    <row r="171" spans="1:10" s="3" customFormat="1" ht="30" customHeight="1" x14ac:dyDescent="0.2">
      <c r="A171" s="180"/>
      <c r="B171" s="131" t="s">
        <v>653</v>
      </c>
      <c r="C171" s="126">
        <v>10000</v>
      </c>
      <c r="D171" s="126">
        <v>10000</v>
      </c>
      <c r="E171" s="10"/>
      <c r="F171" s="130"/>
      <c r="G171" s="126"/>
      <c r="H171" s="126"/>
      <c r="I171" s="126"/>
      <c r="J171" s="14">
        <v>8705.09</v>
      </c>
    </row>
    <row r="172" spans="1:10" ht="30" customHeight="1" x14ac:dyDescent="0.2">
      <c r="A172" s="373"/>
      <c r="B172" s="372" t="s">
        <v>1064</v>
      </c>
      <c r="C172" s="126">
        <v>0</v>
      </c>
      <c r="D172" s="126">
        <v>72600</v>
      </c>
      <c r="E172" s="10"/>
      <c r="F172" s="130"/>
      <c r="G172" s="126"/>
      <c r="H172" s="126"/>
      <c r="I172" s="126"/>
      <c r="J172" s="14">
        <v>50600</v>
      </c>
    </row>
    <row r="173" spans="1:10" ht="30" customHeight="1" x14ac:dyDescent="0.2">
      <c r="A173" s="373"/>
      <c r="B173" s="372" t="s">
        <v>650</v>
      </c>
      <c r="C173" s="126">
        <v>50000</v>
      </c>
      <c r="D173" s="126">
        <v>50000</v>
      </c>
      <c r="E173" s="10"/>
      <c r="F173" s="130"/>
      <c r="G173" s="126"/>
      <c r="H173" s="126"/>
      <c r="I173" s="126"/>
      <c r="J173" s="14">
        <v>50600</v>
      </c>
    </row>
    <row r="174" spans="1:10" s="144" customFormat="1" ht="30" customHeight="1" x14ac:dyDescent="0.2">
      <c r="A174" s="237"/>
      <c r="B174" s="155" t="s">
        <v>649</v>
      </c>
      <c r="C174" s="9">
        <v>2000000</v>
      </c>
      <c r="D174" s="9">
        <v>2000000</v>
      </c>
      <c r="E174" s="75"/>
      <c r="F174" s="374"/>
      <c r="G174" s="126"/>
      <c r="H174" s="126"/>
      <c r="I174" s="126"/>
      <c r="J174" s="14">
        <v>1303484.5</v>
      </c>
    </row>
    <row r="175" spans="1:10" s="144" customFormat="1" ht="30" customHeight="1" x14ac:dyDescent="0.2">
      <c r="A175" s="237"/>
      <c r="B175" s="155" t="s">
        <v>648</v>
      </c>
      <c r="C175" s="9">
        <v>0</v>
      </c>
      <c r="D175" s="9">
        <v>4500</v>
      </c>
      <c r="E175" s="10"/>
      <c r="F175" s="130"/>
      <c r="G175" s="126"/>
      <c r="H175" s="126"/>
      <c r="I175" s="126"/>
      <c r="J175" s="296">
        <v>3000</v>
      </c>
    </row>
    <row r="176" spans="1:10" s="144" customFormat="1" ht="30" customHeight="1" x14ac:dyDescent="0.2">
      <c r="A176" s="237"/>
      <c r="B176" s="155" t="s">
        <v>647</v>
      </c>
      <c r="C176" s="126">
        <v>0</v>
      </c>
      <c r="D176" s="126">
        <v>2000</v>
      </c>
      <c r="E176" s="371"/>
      <c r="F176" s="294"/>
      <c r="G176" s="126"/>
      <c r="H176" s="126"/>
      <c r="I176" s="126"/>
      <c r="J176" s="296">
        <v>1200</v>
      </c>
    </row>
    <row r="177" spans="1:10" s="144" customFormat="1" ht="30" customHeight="1" x14ac:dyDescent="0.2">
      <c r="A177" s="237"/>
      <c r="B177" s="155" t="s">
        <v>993</v>
      </c>
      <c r="C177" s="126">
        <v>0</v>
      </c>
      <c r="D177" s="126">
        <v>87789</v>
      </c>
      <c r="E177" s="371"/>
      <c r="F177" s="294"/>
      <c r="G177" s="126"/>
      <c r="H177" s="126"/>
      <c r="I177" s="126"/>
      <c r="J177" s="296">
        <v>0</v>
      </c>
    </row>
    <row r="178" spans="1:10" s="144" customFormat="1" ht="30" customHeight="1" x14ac:dyDescent="0.2">
      <c r="A178" s="237"/>
      <c r="B178" s="155" t="s">
        <v>646</v>
      </c>
      <c r="C178" s="126">
        <v>3000</v>
      </c>
      <c r="D178" s="126">
        <v>3000</v>
      </c>
      <c r="E178" s="371"/>
      <c r="F178" s="294"/>
      <c r="G178" s="126"/>
      <c r="H178" s="126"/>
      <c r="I178" s="126"/>
      <c r="J178" s="296">
        <v>583</v>
      </c>
    </row>
    <row r="179" spans="1:10" s="144" customFormat="1" ht="30" customHeight="1" x14ac:dyDescent="0.2">
      <c r="A179" s="237"/>
      <c r="B179" s="155" t="s">
        <v>645</v>
      </c>
      <c r="C179" s="126">
        <v>70000</v>
      </c>
      <c r="D179" s="126">
        <v>70000</v>
      </c>
      <c r="E179" s="371"/>
      <c r="F179" s="294"/>
      <c r="G179" s="126"/>
      <c r="H179" s="126"/>
      <c r="I179" s="126"/>
      <c r="J179" s="296">
        <v>58135</v>
      </c>
    </row>
    <row r="180" spans="1:10" s="144" customFormat="1" ht="30" customHeight="1" x14ac:dyDescent="0.2">
      <c r="A180" s="237"/>
      <c r="B180" s="155" t="s">
        <v>944</v>
      </c>
      <c r="C180" s="126">
        <v>0</v>
      </c>
      <c r="D180" s="126">
        <v>0</v>
      </c>
      <c r="E180" s="371"/>
      <c r="F180" s="294"/>
      <c r="G180" s="126"/>
      <c r="H180" s="126"/>
      <c r="I180" s="126"/>
      <c r="J180" s="296">
        <v>5200</v>
      </c>
    </row>
    <row r="181" spans="1:10" s="144" customFormat="1" ht="30" customHeight="1" x14ac:dyDescent="0.2">
      <c r="A181" s="237"/>
      <c r="B181" s="155" t="s">
        <v>643</v>
      </c>
      <c r="C181" s="126">
        <v>50000</v>
      </c>
      <c r="D181" s="126">
        <v>50000</v>
      </c>
      <c r="E181" s="371"/>
      <c r="F181" s="294"/>
      <c r="G181" s="126"/>
      <c r="H181" s="126"/>
      <c r="I181" s="126"/>
      <c r="J181" s="296">
        <v>30791.57</v>
      </c>
    </row>
    <row r="182" spans="1:10" ht="30" customHeight="1" x14ac:dyDescent="0.2">
      <c r="A182" s="180">
        <v>2328</v>
      </c>
      <c r="B182" s="123" t="s">
        <v>641</v>
      </c>
      <c r="C182" s="120">
        <v>0</v>
      </c>
      <c r="D182" s="120">
        <v>0</v>
      </c>
      <c r="E182" s="481"/>
      <c r="F182" s="294"/>
      <c r="G182" s="120"/>
      <c r="H182" s="120"/>
      <c r="I182" s="120"/>
      <c r="J182" s="296">
        <v>49990</v>
      </c>
    </row>
    <row r="183" spans="1:10" s="3" customFormat="1" ht="30" customHeight="1" x14ac:dyDescent="0.2">
      <c r="A183" s="180">
        <v>2329</v>
      </c>
      <c r="B183" s="123" t="s">
        <v>640</v>
      </c>
      <c r="C183" s="122">
        <f>SUM(C185:C195)</f>
        <v>360000</v>
      </c>
      <c r="D183" s="122">
        <f>SUM(D184:D195)</f>
        <v>704975.9</v>
      </c>
      <c r="E183" s="481"/>
      <c r="F183" s="294"/>
      <c r="G183" s="120"/>
      <c r="H183" s="120"/>
      <c r="I183" s="120"/>
      <c r="J183" s="296">
        <v>566273.46</v>
      </c>
    </row>
    <row r="184" spans="1:10" ht="30" customHeight="1" x14ac:dyDescent="0.2">
      <c r="A184" s="237"/>
      <c r="B184" s="155" t="s">
        <v>1062</v>
      </c>
      <c r="C184" s="126">
        <v>0</v>
      </c>
      <c r="D184" s="126">
        <v>57218</v>
      </c>
      <c r="E184" s="368"/>
      <c r="F184" s="294"/>
      <c r="G184" s="126"/>
      <c r="H184" s="126"/>
      <c r="I184" s="126"/>
      <c r="J184" s="296">
        <v>145623.70000000001</v>
      </c>
    </row>
    <row r="185" spans="1:10" ht="30" customHeight="1" x14ac:dyDescent="0.2">
      <c r="A185" s="237"/>
      <c r="B185" s="155" t="s">
        <v>637</v>
      </c>
      <c r="C185" s="126">
        <v>0</v>
      </c>
      <c r="D185" s="126">
        <v>250000</v>
      </c>
      <c r="E185" s="368"/>
      <c r="F185" s="294"/>
      <c r="G185" s="126"/>
      <c r="H185" s="126"/>
      <c r="I185" s="126"/>
      <c r="J185" s="296">
        <v>145623.70000000001</v>
      </c>
    </row>
    <row r="186" spans="1:10" ht="30" customHeight="1" x14ac:dyDescent="0.2">
      <c r="A186" s="237"/>
      <c r="B186" s="155" t="s">
        <v>636</v>
      </c>
      <c r="C186" s="126">
        <v>0</v>
      </c>
      <c r="D186" s="126">
        <v>0</v>
      </c>
      <c r="E186" s="130"/>
      <c r="F186" s="130"/>
      <c r="G186" s="126"/>
      <c r="H186" s="126"/>
      <c r="I186" s="126"/>
      <c r="J186" s="14">
        <v>0</v>
      </c>
    </row>
    <row r="187" spans="1:10" ht="30" customHeight="1" x14ac:dyDescent="0.2">
      <c r="A187" s="237"/>
      <c r="B187" s="155" t="s">
        <v>635</v>
      </c>
      <c r="C187" s="126">
        <v>270000</v>
      </c>
      <c r="D187" s="126">
        <v>270000</v>
      </c>
      <c r="E187" s="294"/>
      <c r="F187" s="14"/>
      <c r="G187" s="126"/>
      <c r="H187" s="126"/>
      <c r="I187" s="126"/>
      <c r="J187" s="296">
        <v>164716.6</v>
      </c>
    </row>
    <row r="188" spans="1:10" ht="30" customHeight="1" x14ac:dyDescent="0.2">
      <c r="A188" s="237"/>
      <c r="B188" s="155" t="s">
        <v>634</v>
      </c>
      <c r="C188" s="126">
        <v>50000</v>
      </c>
      <c r="D188" s="126">
        <v>50000</v>
      </c>
      <c r="E188" s="130"/>
      <c r="F188" s="130"/>
      <c r="G188" s="126"/>
      <c r="H188" s="126"/>
      <c r="I188" s="126"/>
      <c r="J188" s="14">
        <v>34952.06</v>
      </c>
    </row>
    <row r="189" spans="1:10" ht="30" customHeight="1" x14ac:dyDescent="0.2">
      <c r="A189" s="237"/>
      <c r="B189" s="155" t="s">
        <v>633</v>
      </c>
      <c r="C189" s="126">
        <v>40000</v>
      </c>
      <c r="D189" s="126">
        <v>40000</v>
      </c>
      <c r="E189" s="368"/>
      <c r="F189" s="294"/>
      <c r="G189" s="126"/>
      <c r="H189" s="126"/>
      <c r="I189" s="126"/>
      <c r="J189" s="296">
        <v>21375</v>
      </c>
    </row>
    <row r="190" spans="1:10" ht="30" customHeight="1" x14ac:dyDescent="0.2">
      <c r="A190" s="237"/>
      <c r="B190" s="155" t="s">
        <v>1073</v>
      </c>
      <c r="C190" s="126">
        <v>0</v>
      </c>
      <c r="D190" s="126">
        <f>6616-6616</f>
        <v>0</v>
      </c>
      <c r="E190" s="368"/>
      <c r="F190" s="294"/>
      <c r="G190" s="126"/>
      <c r="H190" s="126"/>
      <c r="I190" s="126"/>
      <c r="J190" s="296">
        <v>3056.5</v>
      </c>
    </row>
    <row r="191" spans="1:10" ht="30" customHeight="1" x14ac:dyDescent="0.2">
      <c r="A191" s="237"/>
      <c r="B191" s="155" t="s">
        <v>632</v>
      </c>
      <c r="C191" s="126">
        <v>0</v>
      </c>
      <c r="D191" s="126">
        <v>3041</v>
      </c>
      <c r="E191" s="368"/>
      <c r="F191" s="294"/>
      <c r="G191" s="126"/>
      <c r="H191" s="126"/>
      <c r="I191" s="126"/>
      <c r="J191" s="296">
        <v>3056.5</v>
      </c>
    </row>
    <row r="192" spans="1:10" ht="30" customHeight="1" x14ac:dyDescent="0.2">
      <c r="A192" s="237"/>
      <c r="B192" s="155" t="s">
        <v>945</v>
      </c>
      <c r="C192" s="127">
        <v>0</v>
      </c>
      <c r="D192" s="127">
        <f>6616</f>
        <v>6616</v>
      </c>
      <c r="E192" s="368"/>
      <c r="F192" s="297"/>
      <c r="G192" s="126"/>
      <c r="H192" s="126"/>
      <c r="I192" s="126"/>
      <c r="J192" s="351">
        <v>3998</v>
      </c>
    </row>
    <row r="193" spans="1:10" ht="30" customHeight="1" x14ac:dyDescent="0.2">
      <c r="A193" s="237"/>
      <c r="B193" s="155" t="s">
        <v>1010</v>
      </c>
      <c r="C193" s="126">
        <v>0</v>
      </c>
      <c r="D193" s="126">
        <f>1641</f>
        <v>1641</v>
      </c>
      <c r="E193" s="368"/>
      <c r="F193" s="294"/>
      <c r="G193" s="126"/>
      <c r="H193" s="126"/>
      <c r="I193" s="126"/>
      <c r="J193" s="296">
        <v>9007.6</v>
      </c>
    </row>
    <row r="194" spans="1:10" ht="30" customHeight="1" x14ac:dyDescent="0.2">
      <c r="A194" s="237"/>
      <c r="B194" s="155" t="s">
        <v>1052</v>
      </c>
      <c r="C194" s="126">
        <v>0</v>
      </c>
      <c r="D194" s="126">
        <f>26459.9</f>
        <v>26459.9</v>
      </c>
      <c r="E194" s="368"/>
      <c r="F194" s="294"/>
      <c r="G194" s="126"/>
      <c r="H194" s="126"/>
      <c r="I194" s="126"/>
      <c r="J194" s="296">
        <v>9007.6</v>
      </c>
    </row>
    <row r="195" spans="1:10" ht="30" customHeight="1" x14ac:dyDescent="0.2">
      <c r="A195" s="237"/>
      <c r="B195" s="155" t="s">
        <v>629</v>
      </c>
      <c r="C195" s="126">
        <v>0</v>
      </c>
      <c r="D195" s="126">
        <v>0</v>
      </c>
      <c r="E195" s="368"/>
      <c r="F195" s="297"/>
      <c r="G195" s="126"/>
      <c r="H195" s="126"/>
      <c r="I195" s="126"/>
      <c r="J195" s="351">
        <v>2423</v>
      </c>
    </row>
    <row r="196" spans="1:10" ht="30" customHeight="1" thickBot="1" x14ac:dyDescent="0.25">
      <c r="A196" s="367"/>
      <c r="B196" s="366"/>
      <c r="C196" s="358"/>
      <c r="D196" s="358"/>
      <c r="E196" s="365"/>
      <c r="F196" s="302"/>
      <c r="G196" s="151"/>
      <c r="H196" s="151"/>
      <c r="I196" s="151"/>
      <c r="J196" s="351"/>
    </row>
    <row r="197" spans="1:10" s="567" customFormat="1" ht="30" customHeight="1" thickBot="1" x14ac:dyDescent="0.3">
      <c r="A197" s="569"/>
      <c r="B197" s="570" t="s">
        <v>627</v>
      </c>
      <c r="C197" s="315">
        <f>SUM(C198,C199,C207:C210)</f>
        <v>109511899.31</v>
      </c>
      <c r="D197" s="315">
        <f>SUM(D198,D199,D207:D210)</f>
        <v>57915220</v>
      </c>
      <c r="E197" s="561"/>
      <c r="F197" s="317"/>
      <c r="G197" s="550"/>
      <c r="H197" s="550"/>
      <c r="I197" s="550"/>
      <c r="J197" s="573">
        <v>13328460.699999999</v>
      </c>
    </row>
    <row r="198" spans="1:10" s="3" customFormat="1" ht="38.25" x14ac:dyDescent="0.2">
      <c r="A198" s="248">
        <v>3111</v>
      </c>
      <c r="B198" s="363" t="s">
        <v>626</v>
      </c>
      <c r="C198" s="362">
        <f>(5.95+3.9+44.064+14.478+0.8+1.8+0.4+2.5)*1000000</f>
        <v>73892000</v>
      </c>
      <c r="D198" s="362">
        <f>((5.95+3.9+44.064+14.478+0.8+1.8+0.4+2.5)*1000000)-30000000</f>
        <v>43892000</v>
      </c>
      <c r="E198" s="187"/>
      <c r="F198" s="126"/>
      <c r="G198" s="120"/>
      <c r="H198" s="120"/>
      <c r="I198" s="120"/>
      <c r="J198" s="109">
        <v>401191</v>
      </c>
    </row>
    <row r="199" spans="1:10" s="3" customFormat="1" ht="30" customHeight="1" x14ac:dyDescent="0.2">
      <c r="A199" s="180">
        <v>3112</v>
      </c>
      <c r="B199" s="180" t="s">
        <v>625</v>
      </c>
      <c r="C199" s="122">
        <f>SUM(C200:C206)</f>
        <v>19516800</v>
      </c>
      <c r="D199" s="122">
        <f>SUM(D200:D206)</f>
        <v>13516800</v>
      </c>
      <c r="E199" s="121"/>
      <c r="F199" s="130"/>
      <c r="G199" s="120"/>
      <c r="H199" s="120"/>
      <c r="I199" s="120"/>
      <c r="J199" s="6">
        <v>0</v>
      </c>
    </row>
    <row r="200" spans="1:10" s="3" customFormat="1" ht="30" customHeight="1" x14ac:dyDescent="0.2">
      <c r="A200" s="180"/>
      <c r="B200" s="360" t="s">
        <v>624</v>
      </c>
      <c r="C200" s="9">
        <v>1427000</v>
      </c>
      <c r="D200" s="9">
        <v>1427000</v>
      </c>
      <c r="E200" s="294"/>
      <c r="F200" s="294"/>
      <c r="G200" s="126"/>
      <c r="H200" s="126"/>
      <c r="I200" s="126"/>
      <c r="J200" s="296">
        <v>0</v>
      </c>
    </row>
    <row r="201" spans="1:10" s="3" customFormat="1" ht="30" customHeight="1" x14ac:dyDescent="0.2">
      <c r="A201" s="180"/>
      <c r="B201" s="360" t="s">
        <v>622</v>
      </c>
      <c r="C201" s="130">
        <f>4209000-150200</f>
        <v>4058800</v>
      </c>
      <c r="D201" s="130">
        <f>4209000-150200</f>
        <v>4058800</v>
      </c>
      <c r="E201" s="126"/>
      <c r="F201" s="126"/>
      <c r="G201" s="126"/>
      <c r="H201" s="126"/>
      <c r="I201" s="126"/>
      <c r="J201" s="14">
        <v>0</v>
      </c>
    </row>
    <row r="202" spans="1:10" s="3" customFormat="1" ht="30" customHeight="1" x14ac:dyDescent="0.2">
      <c r="A202" s="180"/>
      <c r="B202" s="360" t="s">
        <v>621</v>
      </c>
      <c r="C202" s="130">
        <v>2581000</v>
      </c>
      <c r="D202" s="130">
        <v>2581000</v>
      </c>
      <c r="E202" s="130"/>
      <c r="F202" s="130"/>
      <c r="G202" s="126"/>
      <c r="H202" s="126"/>
      <c r="I202" s="126"/>
      <c r="J202" s="14">
        <v>0</v>
      </c>
    </row>
    <row r="203" spans="1:10" s="3" customFormat="1" ht="30" customHeight="1" x14ac:dyDescent="0.2">
      <c r="A203" s="180"/>
      <c r="B203" s="360" t="s">
        <v>618</v>
      </c>
      <c r="C203" s="126">
        <v>5450000</v>
      </c>
      <c r="D203" s="126">
        <v>5450000</v>
      </c>
      <c r="E203" s="130"/>
      <c r="F203" s="130"/>
      <c r="G203" s="126"/>
      <c r="H203" s="126"/>
      <c r="I203" s="126"/>
      <c r="J203" s="14">
        <v>0</v>
      </c>
    </row>
    <row r="204" spans="1:10" s="3" customFormat="1" ht="30" customHeight="1" x14ac:dyDescent="0.2">
      <c r="A204" s="180"/>
      <c r="B204" s="360" t="s">
        <v>620</v>
      </c>
      <c r="C204" s="126">
        <v>3000000</v>
      </c>
      <c r="D204" s="126">
        <f>3000000-3000000</f>
        <v>0</v>
      </c>
      <c r="E204" s="130"/>
      <c r="F204" s="130"/>
      <c r="G204" s="126"/>
      <c r="H204" s="126"/>
      <c r="I204" s="126"/>
      <c r="J204" s="14">
        <v>0</v>
      </c>
    </row>
    <row r="205" spans="1:10" s="3" customFormat="1" ht="30" customHeight="1" x14ac:dyDescent="0.2">
      <c r="A205" s="180"/>
      <c r="B205" s="360" t="s">
        <v>619</v>
      </c>
      <c r="C205" s="126">
        <v>3000000</v>
      </c>
      <c r="D205" s="126">
        <f>3000000-3000000</f>
        <v>0</v>
      </c>
      <c r="E205" s="130"/>
      <c r="F205" s="130"/>
      <c r="G205" s="126"/>
      <c r="H205" s="126"/>
      <c r="I205" s="126"/>
      <c r="J205" s="14">
        <v>0</v>
      </c>
    </row>
    <row r="206" spans="1:10" s="3" customFormat="1" ht="30" customHeight="1" x14ac:dyDescent="0.2">
      <c r="A206" s="180"/>
      <c r="B206" s="360" t="s">
        <v>946</v>
      </c>
      <c r="C206" s="126">
        <v>0</v>
      </c>
      <c r="D206" s="9">
        <v>0</v>
      </c>
      <c r="E206" s="130"/>
      <c r="F206" s="130"/>
      <c r="G206" s="126"/>
      <c r="H206" s="126"/>
      <c r="I206" s="126"/>
      <c r="J206" s="14">
        <v>0</v>
      </c>
    </row>
    <row r="207" spans="1:10" s="3" customFormat="1" ht="30" customHeight="1" x14ac:dyDescent="0.2">
      <c r="A207" s="180">
        <v>3113</v>
      </c>
      <c r="B207" s="180" t="s">
        <v>1021</v>
      </c>
      <c r="C207" s="120">
        <v>0</v>
      </c>
      <c r="D207" s="120">
        <f>52350+10000</f>
        <v>62350</v>
      </c>
      <c r="E207" s="121"/>
      <c r="F207" s="130"/>
      <c r="G207" s="120"/>
      <c r="H207" s="120"/>
      <c r="I207" s="120"/>
      <c r="J207" s="14">
        <v>81112.7</v>
      </c>
    </row>
    <row r="208" spans="1:10" s="3" customFormat="1" ht="30" customHeight="1" x14ac:dyDescent="0.2">
      <c r="A208" s="180">
        <v>3119</v>
      </c>
      <c r="B208" s="745" t="s">
        <v>1059</v>
      </c>
      <c r="C208" s="120">
        <v>0</v>
      </c>
      <c r="D208" s="120">
        <v>444070</v>
      </c>
      <c r="E208" s="121"/>
      <c r="F208" s="130"/>
      <c r="G208" s="120"/>
      <c r="H208" s="120"/>
      <c r="I208" s="120"/>
      <c r="J208" s="14">
        <v>81112.7</v>
      </c>
    </row>
    <row r="209" spans="1:10" s="3" customFormat="1" ht="30" customHeight="1" x14ac:dyDescent="0.2">
      <c r="A209" s="180">
        <v>3121</v>
      </c>
      <c r="B209" s="180" t="s">
        <v>614</v>
      </c>
      <c r="C209" s="120">
        <v>400000</v>
      </c>
      <c r="D209" s="120">
        <f>400000-400000</f>
        <v>0</v>
      </c>
      <c r="E209" s="121"/>
      <c r="F209" s="130"/>
      <c r="G209" s="120"/>
      <c r="H209" s="120"/>
      <c r="I209" s="120"/>
      <c r="J209" s="14">
        <v>81112.7</v>
      </c>
    </row>
    <row r="210" spans="1:10" s="3" customFormat="1" ht="30" customHeight="1" x14ac:dyDescent="0.2">
      <c r="A210" s="180">
        <v>3129</v>
      </c>
      <c r="B210" s="180" t="s">
        <v>612</v>
      </c>
      <c r="C210" s="122">
        <f>SUM(C211:C213)</f>
        <v>15703099.310000001</v>
      </c>
      <c r="D210" s="122">
        <f>SUM(D211:D213)</f>
        <v>0</v>
      </c>
      <c r="E210" s="121"/>
      <c r="F210" s="130"/>
      <c r="G210" s="120"/>
      <c r="H210" s="120"/>
      <c r="I210" s="120"/>
      <c r="J210" s="14">
        <v>0</v>
      </c>
    </row>
    <row r="211" spans="1:10" s="3" customFormat="1" ht="30" customHeight="1" x14ac:dyDescent="0.2">
      <c r="A211" s="346"/>
      <c r="B211" s="360" t="s">
        <v>610</v>
      </c>
      <c r="C211" s="126">
        <v>1053570</v>
      </c>
      <c r="D211" s="126">
        <f>1053570-1053570</f>
        <v>0</v>
      </c>
      <c r="E211" s="130"/>
      <c r="F211" s="130"/>
      <c r="G211" s="126"/>
      <c r="H211" s="126"/>
      <c r="I211" s="126"/>
      <c r="J211" s="14">
        <v>0</v>
      </c>
    </row>
    <row r="212" spans="1:10" s="3" customFormat="1" ht="30" customHeight="1" x14ac:dyDescent="0.2">
      <c r="A212" s="346"/>
      <c r="B212" s="360" t="s">
        <v>889</v>
      </c>
      <c r="C212" s="126">
        <v>0</v>
      </c>
      <c r="D212" s="126">
        <f>1000000-1000000</f>
        <v>0</v>
      </c>
      <c r="E212" s="130"/>
      <c r="F212" s="130"/>
      <c r="G212" s="126"/>
      <c r="H212" s="126"/>
      <c r="I212" s="126"/>
      <c r="J212" s="14">
        <v>0</v>
      </c>
    </row>
    <row r="213" spans="1:10" s="3" customFormat="1" ht="30" customHeight="1" x14ac:dyDescent="0.2">
      <c r="A213" s="346"/>
      <c r="B213" s="360" t="s">
        <v>609</v>
      </c>
      <c r="C213" s="126">
        <v>14649529.310000001</v>
      </c>
      <c r="D213" s="126">
        <f>14649529.31-14649529.31</f>
        <v>0</v>
      </c>
      <c r="E213" s="130"/>
      <c r="F213" s="130"/>
      <c r="G213" s="126"/>
      <c r="H213" s="126"/>
      <c r="I213" s="126"/>
      <c r="J213" s="6">
        <v>0</v>
      </c>
    </row>
    <row r="214" spans="1:10" s="3" customFormat="1" ht="30" customHeight="1" thickBot="1" x14ac:dyDescent="0.25">
      <c r="A214" s="346"/>
      <c r="B214" s="359"/>
      <c r="C214" s="358"/>
      <c r="D214" s="358"/>
      <c r="E214" s="117"/>
      <c r="F214" s="117"/>
      <c r="G214" s="151"/>
      <c r="H214" s="151"/>
      <c r="I214" s="151"/>
      <c r="J214" s="6"/>
    </row>
    <row r="215" spans="1:10" s="572" customFormat="1" ht="30" customHeight="1" thickBot="1" x14ac:dyDescent="0.35">
      <c r="A215" s="139"/>
      <c r="B215" s="139" t="s">
        <v>608</v>
      </c>
      <c r="C215" s="457">
        <f>SUM(C216,C220:C225,C253,C264,C270:C272,C279,C295)</f>
        <v>81229895.713500008</v>
      </c>
      <c r="D215" s="457">
        <f>SUM(D216,D220:D221,D225,D253,D264,D270,D271:D272,D279,D295)</f>
        <v>104950880.22350001</v>
      </c>
      <c r="E215" s="181"/>
      <c r="F215" s="511"/>
      <c r="G215" s="571"/>
      <c r="H215" s="571"/>
      <c r="I215" s="571"/>
      <c r="J215" s="568">
        <v>41016629.789999999</v>
      </c>
    </row>
    <row r="216" spans="1:10" s="3" customFormat="1" ht="30" customHeight="1" x14ac:dyDescent="0.2">
      <c r="A216" s="356">
        <v>4111</v>
      </c>
      <c r="B216" s="356" t="s">
        <v>607</v>
      </c>
      <c r="C216" s="357">
        <f>SUM(C217:C219)</f>
        <v>0</v>
      </c>
      <c r="D216" s="357">
        <f>SUM(D217:D219)</f>
        <v>5965964.5599999996</v>
      </c>
      <c r="E216" s="362"/>
      <c r="F216" s="513"/>
      <c r="G216" s="120"/>
      <c r="H216" s="120"/>
      <c r="I216" s="120"/>
      <c r="J216" s="14">
        <v>0</v>
      </c>
    </row>
    <row r="217" spans="1:10" s="3" customFormat="1" ht="30" customHeight="1" x14ac:dyDescent="0.2">
      <c r="A217" s="356"/>
      <c r="B217" s="689" t="s">
        <v>929</v>
      </c>
      <c r="C217" s="354">
        <v>0</v>
      </c>
      <c r="D217" s="354">
        <v>3000</v>
      </c>
      <c r="E217" s="126"/>
      <c r="F217" s="126"/>
      <c r="G217" s="126"/>
      <c r="H217" s="126"/>
      <c r="I217" s="126"/>
      <c r="J217" s="6">
        <v>0</v>
      </c>
    </row>
    <row r="218" spans="1:10" s="3" customFormat="1" ht="30" customHeight="1" x14ac:dyDescent="0.2">
      <c r="A218" s="356"/>
      <c r="B218" s="689" t="s">
        <v>930</v>
      </c>
      <c r="C218" s="354">
        <v>0</v>
      </c>
      <c r="D218" s="354">
        <f>1026933.11+4013693.68+219366.52+971.25</f>
        <v>5260964.5599999996</v>
      </c>
      <c r="E218" s="126"/>
      <c r="F218" s="126"/>
      <c r="G218" s="126"/>
      <c r="H218" s="126"/>
      <c r="I218" s="126"/>
      <c r="J218" s="6">
        <v>0</v>
      </c>
    </row>
    <row r="219" spans="1:10" s="3" customFormat="1" ht="30" customHeight="1" x14ac:dyDescent="0.2">
      <c r="A219" s="356"/>
      <c r="B219" s="689" t="s">
        <v>1016</v>
      </c>
      <c r="C219" s="354">
        <v>0</v>
      </c>
      <c r="D219" s="354">
        <v>702000</v>
      </c>
      <c r="E219" s="126"/>
      <c r="F219" s="126"/>
      <c r="G219" s="126"/>
      <c r="H219" s="126"/>
      <c r="I219" s="126"/>
      <c r="J219" s="6">
        <v>0</v>
      </c>
    </row>
    <row r="220" spans="1:10" ht="89.25" x14ac:dyDescent="0.2">
      <c r="A220" s="137">
        <v>4112</v>
      </c>
      <c r="B220" s="175" t="s">
        <v>605</v>
      </c>
      <c r="C220" s="24">
        <f>(958935.0949+709659.9826+520950+433320+542800+39919+4236063.649+7723640.937+23616817.65+627210+1363000+1530786+236555+42.69)+918800</f>
        <v>43458500.0035</v>
      </c>
      <c r="D220" s="24">
        <f>(958935.0949+709659.9826+520950+433320+542800+39919+4236063.649+7723640.937+23616817.65+627210+1363000+1530786+236555+42.69)+918800</f>
        <v>43458500.0035</v>
      </c>
      <c r="E220" s="120"/>
      <c r="F220" s="126"/>
      <c r="G220" s="120"/>
      <c r="H220" s="120"/>
      <c r="I220" s="120"/>
      <c r="J220" s="6">
        <v>21269851</v>
      </c>
    </row>
    <row r="221" spans="1:10" s="3" customFormat="1" ht="30" customHeight="1" x14ac:dyDescent="0.2">
      <c r="A221" s="123">
        <v>4113</v>
      </c>
      <c r="B221" s="123" t="s">
        <v>939</v>
      </c>
      <c r="C221" s="122">
        <f>SUM(C222:C224)</f>
        <v>0</v>
      </c>
      <c r="D221" s="122">
        <f>SUM(D222:D224)</f>
        <v>148851</v>
      </c>
      <c r="E221" s="120"/>
      <c r="F221" s="126"/>
      <c r="G221" s="120"/>
      <c r="H221" s="120"/>
      <c r="I221" s="120"/>
      <c r="J221" s="6">
        <v>0</v>
      </c>
    </row>
    <row r="222" spans="1:10" s="2" customFormat="1" ht="30" customHeight="1" x14ac:dyDescent="0.2">
      <c r="A222" s="131"/>
      <c r="B222" s="131" t="s">
        <v>1035</v>
      </c>
      <c r="C222" s="127">
        <v>0</v>
      </c>
      <c r="D222" s="127">
        <v>48565</v>
      </c>
      <c r="E222" s="126"/>
      <c r="F222" s="126"/>
      <c r="G222" s="126"/>
      <c r="H222" s="126"/>
      <c r="I222" s="126"/>
      <c r="J222" s="6"/>
    </row>
    <row r="223" spans="1:10" s="2" customFormat="1" ht="30" customHeight="1" x14ac:dyDescent="0.2">
      <c r="A223" s="131"/>
      <c r="B223" s="131" t="s">
        <v>1036</v>
      </c>
      <c r="C223" s="127">
        <v>0</v>
      </c>
      <c r="D223" s="127">
        <v>86338</v>
      </c>
      <c r="E223" s="126"/>
      <c r="F223" s="126"/>
      <c r="G223" s="126"/>
      <c r="H223" s="126"/>
      <c r="I223" s="126"/>
      <c r="J223" s="6"/>
    </row>
    <row r="224" spans="1:10" s="2" customFormat="1" ht="30" customHeight="1" x14ac:dyDescent="0.2">
      <c r="A224" s="131"/>
      <c r="B224" s="307" t="s">
        <v>1049</v>
      </c>
      <c r="C224" s="127">
        <v>0</v>
      </c>
      <c r="D224" s="127">
        <v>13948</v>
      </c>
      <c r="E224" s="126"/>
      <c r="F224" s="126"/>
      <c r="G224" s="126"/>
      <c r="H224" s="126"/>
      <c r="I224" s="126"/>
      <c r="J224" s="6"/>
    </row>
    <row r="225" spans="1:11" s="3" customFormat="1" ht="30" customHeight="1" x14ac:dyDescent="0.2">
      <c r="A225" s="123">
        <v>4116</v>
      </c>
      <c r="B225" s="123" t="s">
        <v>604</v>
      </c>
      <c r="C225" s="122">
        <f>SUM(C226:C252)</f>
        <v>8333206</v>
      </c>
      <c r="D225" s="122">
        <f>SUM(D226:D252)</f>
        <v>21120692</v>
      </c>
      <c r="E225" s="120"/>
      <c r="F225" s="126"/>
      <c r="G225" s="120"/>
      <c r="H225" s="120"/>
      <c r="I225" s="120"/>
      <c r="J225" s="6">
        <v>4954299.75</v>
      </c>
    </row>
    <row r="226" spans="1:11" ht="30" customHeight="1" x14ac:dyDescent="0.2">
      <c r="A226" s="155"/>
      <c r="B226" s="15" t="s">
        <v>603</v>
      </c>
      <c r="C226" s="9">
        <v>50000</v>
      </c>
      <c r="D226" s="9">
        <f>50000-50000</f>
        <v>0</v>
      </c>
      <c r="E226" s="126"/>
      <c r="F226" s="126"/>
      <c r="G226" s="126"/>
      <c r="H226" s="126"/>
      <c r="I226" s="126"/>
      <c r="J226" s="6">
        <v>0</v>
      </c>
    </row>
    <row r="227" spans="1:11" ht="30" customHeight="1" x14ac:dyDescent="0.2">
      <c r="A227" s="155"/>
      <c r="B227" s="155" t="s">
        <v>602</v>
      </c>
      <c r="C227" s="126">
        <v>0</v>
      </c>
      <c r="D227" s="126">
        <v>0</v>
      </c>
      <c r="E227" s="130"/>
      <c r="F227" s="130"/>
      <c r="G227" s="126"/>
      <c r="H227" s="126"/>
      <c r="I227" s="126"/>
      <c r="J227" s="14">
        <v>144000</v>
      </c>
    </row>
    <row r="228" spans="1:11" ht="30" customHeight="1" x14ac:dyDescent="0.2">
      <c r="A228" s="123"/>
      <c r="B228" s="131" t="s">
        <v>601</v>
      </c>
      <c r="C228" s="126">
        <v>7145900</v>
      </c>
      <c r="D228" s="126">
        <f>7145900+(4422050-3572950)+397841.81</f>
        <v>8392841.8100000005</v>
      </c>
      <c r="E228" s="10"/>
      <c r="F228" s="130"/>
      <c r="G228" s="126"/>
      <c r="H228" s="126"/>
      <c r="I228" s="126"/>
      <c r="J228" s="14">
        <v>3376250</v>
      </c>
    </row>
    <row r="229" spans="1:11" ht="30" customHeight="1" x14ac:dyDescent="0.2">
      <c r="A229" s="185"/>
      <c r="B229" s="185" t="s">
        <v>600</v>
      </c>
      <c r="C229" s="126">
        <v>1137306</v>
      </c>
      <c r="D229" s="126">
        <f>1137306+(-1137306+1211186)</f>
        <v>1211186</v>
      </c>
      <c r="E229" s="10"/>
      <c r="F229" s="130"/>
      <c r="G229" s="126"/>
      <c r="H229" s="126"/>
      <c r="I229" s="126"/>
      <c r="J229" s="14">
        <v>1137306</v>
      </c>
    </row>
    <row r="230" spans="1:11" ht="30" customHeight="1" x14ac:dyDescent="0.2">
      <c r="A230" s="185"/>
      <c r="B230" s="185" t="s">
        <v>919</v>
      </c>
      <c r="C230" s="126">
        <v>0</v>
      </c>
      <c r="D230" s="126">
        <v>91988</v>
      </c>
      <c r="E230" s="10"/>
      <c r="F230" s="130"/>
      <c r="G230" s="126"/>
      <c r="H230" s="126"/>
      <c r="I230" s="126"/>
      <c r="J230" s="14">
        <v>0</v>
      </c>
    </row>
    <row r="231" spans="1:11" ht="30" customHeight="1" x14ac:dyDescent="0.2">
      <c r="A231" s="342"/>
      <c r="B231" s="185" t="s">
        <v>909</v>
      </c>
      <c r="C231" s="126">
        <v>0</v>
      </c>
      <c r="D231" s="126">
        <v>1395266</v>
      </c>
      <c r="E231" s="130"/>
      <c r="F231" s="130"/>
      <c r="G231" s="126"/>
      <c r="H231" s="126"/>
      <c r="I231" s="126"/>
      <c r="J231" s="14">
        <v>0</v>
      </c>
    </row>
    <row r="232" spans="1:11" ht="30" customHeight="1" x14ac:dyDescent="0.2">
      <c r="A232" s="342"/>
      <c r="B232" s="185" t="s">
        <v>1045</v>
      </c>
      <c r="C232" s="126">
        <v>0</v>
      </c>
      <c r="D232" s="126">
        <v>3600</v>
      </c>
      <c r="E232" s="130"/>
      <c r="F232" s="130"/>
      <c r="G232" s="126"/>
      <c r="H232" s="126"/>
      <c r="I232" s="126"/>
      <c r="J232" s="14">
        <v>0</v>
      </c>
    </row>
    <row r="233" spans="1:11" ht="30" customHeight="1" x14ac:dyDescent="0.2">
      <c r="A233" s="342"/>
      <c r="B233" s="185" t="s">
        <v>1025</v>
      </c>
      <c r="C233" s="126">
        <v>0</v>
      </c>
      <c r="D233" s="126">
        <v>140000</v>
      </c>
      <c r="E233" s="130"/>
      <c r="F233" s="130"/>
      <c r="G233" s="126"/>
      <c r="H233" s="126"/>
      <c r="I233" s="126"/>
      <c r="J233" s="14">
        <v>0</v>
      </c>
    </row>
    <row r="234" spans="1:11" s="3" customFormat="1" ht="30" customHeight="1" x14ac:dyDescent="0.2">
      <c r="A234" s="343"/>
      <c r="B234" s="185" t="s">
        <v>1017</v>
      </c>
      <c r="C234" s="126">
        <v>0</v>
      </c>
      <c r="D234" s="126">
        <v>157016.39000000001</v>
      </c>
      <c r="E234" s="130"/>
      <c r="F234" s="130"/>
      <c r="G234" s="126"/>
      <c r="H234" s="126"/>
      <c r="I234" s="126"/>
      <c r="J234" s="14">
        <v>1249.8499999999999</v>
      </c>
      <c r="K234" s="341"/>
    </row>
    <row r="235" spans="1:11" s="3" customFormat="1" ht="30" customHeight="1" x14ac:dyDescent="0.2">
      <c r="A235" s="343"/>
      <c r="B235" s="185" t="s">
        <v>1018</v>
      </c>
      <c r="C235" s="126">
        <v>0</v>
      </c>
      <c r="D235" s="126">
        <v>2669278.6800000002</v>
      </c>
      <c r="E235" s="130"/>
      <c r="F235" s="130"/>
      <c r="G235" s="126"/>
      <c r="H235" s="126"/>
      <c r="I235" s="126"/>
      <c r="J235" s="14">
        <v>24996.9</v>
      </c>
      <c r="K235" s="341"/>
    </row>
    <row r="236" spans="1:11" s="3" customFormat="1" ht="30" customHeight="1" x14ac:dyDescent="0.2">
      <c r="A236" s="343"/>
      <c r="B236" s="185" t="s">
        <v>1041</v>
      </c>
      <c r="C236" s="126">
        <v>0</v>
      </c>
      <c r="D236" s="126">
        <v>63450.62</v>
      </c>
      <c r="E236" s="130"/>
      <c r="F236" s="130"/>
      <c r="G236" s="126"/>
      <c r="H236" s="126"/>
      <c r="I236" s="126"/>
      <c r="J236" s="14">
        <v>1249.8499999999999</v>
      </c>
      <c r="K236" s="341"/>
    </row>
    <row r="237" spans="1:11" s="3" customFormat="1" ht="30" customHeight="1" x14ac:dyDescent="0.2">
      <c r="A237" s="343"/>
      <c r="B237" s="185" t="s">
        <v>1042</v>
      </c>
      <c r="C237" s="126">
        <v>0</v>
      </c>
      <c r="D237" s="126">
        <v>1078660.51</v>
      </c>
      <c r="E237" s="130"/>
      <c r="F237" s="130"/>
      <c r="G237" s="126"/>
      <c r="H237" s="126"/>
      <c r="I237" s="126"/>
      <c r="J237" s="14">
        <v>24996.9</v>
      </c>
      <c r="K237" s="341"/>
    </row>
    <row r="238" spans="1:11" s="3" customFormat="1" ht="30" customHeight="1" x14ac:dyDescent="0.2">
      <c r="A238" s="343"/>
      <c r="B238" s="185" t="s">
        <v>870</v>
      </c>
      <c r="C238" s="126">
        <v>0</v>
      </c>
      <c r="D238" s="126">
        <v>68450.27</v>
      </c>
      <c r="E238" s="130"/>
      <c r="F238" s="130"/>
      <c r="G238" s="126"/>
      <c r="H238" s="126"/>
      <c r="I238" s="126"/>
      <c r="J238" s="14">
        <v>1249.8499999999999</v>
      </c>
      <c r="K238" s="341"/>
    </row>
    <row r="239" spans="1:11" s="3" customFormat="1" ht="30" customHeight="1" x14ac:dyDescent="0.2">
      <c r="A239" s="343"/>
      <c r="B239" s="185" t="s">
        <v>871</v>
      </c>
      <c r="C239" s="126">
        <v>0</v>
      </c>
      <c r="D239" s="126">
        <v>1163654.6299999999</v>
      </c>
      <c r="E239" s="130"/>
      <c r="F239" s="130"/>
      <c r="G239" s="126"/>
      <c r="H239" s="126"/>
      <c r="I239" s="126"/>
      <c r="J239" s="14">
        <v>24996.9</v>
      </c>
      <c r="K239" s="341"/>
    </row>
    <row r="240" spans="1:11" s="3" customFormat="1" ht="30" customHeight="1" x14ac:dyDescent="0.2">
      <c r="A240" s="343"/>
      <c r="B240" s="185" t="s">
        <v>883</v>
      </c>
      <c r="C240" s="126">
        <v>0</v>
      </c>
      <c r="D240" s="126">
        <v>726</v>
      </c>
      <c r="E240" s="130"/>
      <c r="F240" s="130"/>
      <c r="G240" s="126"/>
      <c r="H240" s="126"/>
      <c r="I240" s="126"/>
      <c r="J240" s="14">
        <v>1249.8499999999999</v>
      </c>
      <c r="K240" s="341"/>
    </row>
    <row r="241" spans="1:16" s="3" customFormat="1" ht="30" customHeight="1" x14ac:dyDescent="0.2">
      <c r="A241" s="343"/>
      <c r="B241" s="185" t="s">
        <v>884</v>
      </c>
      <c r="C241" s="126">
        <v>0</v>
      </c>
      <c r="D241" s="126">
        <v>14520</v>
      </c>
      <c r="E241" s="130"/>
      <c r="F241" s="130"/>
      <c r="G241" s="126"/>
      <c r="H241" s="126"/>
      <c r="I241" s="126"/>
      <c r="J241" s="14">
        <v>24996.9</v>
      </c>
      <c r="K241" s="341"/>
    </row>
    <row r="242" spans="1:16" s="3" customFormat="1" ht="30" customHeight="1" x14ac:dyDescent="0.2">
      <c r="A242" s="343"/>
      <c r="B242" s="185" t="s">
        <v>1031</v>
      </c>
      <c r="C242" s="126">
        <v>0</v>
      </c>
      <c r="D242" s="126">
        <v>961.95</v>
      </c>
      <c r="E242" s="130"/>
      <c r="F242" s="130"/>
      <c r="G242" s="126"/>
      <c r="H242" s="126"/>
      <c r="I242" s="126"/>
      <c r="J242" s="14">
        <v>1249.8499999999999</v>
      </c>
      <c r="K242" s="341"/>
    </row>
    <row r="243" spans="1:16" s="3" customFormat="1" ht="30" customHeight="1" x14ac:dyDescent="0.2">
      <c r="A243" s="343"/>
      <c r="B243" s="185" t="s">
        <v>1032</v>
      </c>
      <c r="C243" s="126">
        <v>0</v>
      </c>
      <c r="D243" s="126">
        <v>19239</v>
      </c>
      <c r="E243" s="130"/>
      <c r="F243" s="130"/>
      <c r="G243" s="126"/>
      <c r="H243" s="126"/>
      <c r="I243" s="126"/>
      <c r="J243" s="14">
        <v>24996.9</v>
      </c>
      <c r="K243" s="341"/>
    </row>
    <row r="244" spans="1:16" s="3" customFormat="1" ht="30" customHeight="1" x14ac:dyDescent="0.2">
      <c r="A244" s="343"/>
      <c r="B244" s="185" t="s">
        <v>1053</v>
      </c>
      <c r="C244" s="126">
        <v>0</v>
      </c>
      <c r="D244" s="126">
        <f>(24381.5+35574)</f>
        <v>59955.5</v>
      </c>
      <c r="E244" s="302"/>
      <c r="F244" s="117"/>
      <c r="G244" s="126"/>
      <c r="H244" s="126"/>
      <c r="I244" s="126"/>
      <c r="J244" s="14">
        <v>270497</v>
      </c>
      <c r="K244" s="341"/>
    </row>
    <row r="245" spans="1:16" s="3" customFormat="1" ht="30" customHeight="1" x14ac:dyDescent="0.2">
      <c r="A245" s="343"/>
      <c r="B245" s="185" t="s">
        <v>920</v>
      </c>
      <c r="C245" s="126">
        <v>0</v>
      </c>
      <c r="D245" s="126">
        <f>167860+44100</f>
        <v>211960</v>
      </c>
      <c r="E245" s="302"/>
      <c r="F245" s="117"/>
      <c r="G245" s="126"/>
      <c r="H245" s="126"/>
      <c r="I245" s="126"/>
      <c r="J245" s="14">
        <v>270497</v>
      </c>
      <c r="K245" s="341"/>
    </row>
    <row r="246" spans="1:16" s="3" customFormat="1" ht="30" customHeight="1" x14ac:dyDescent="0.2">
      <c r="A246" s="343"/>
      <c r="B246" s="185" t="s">
        <v>1054</v>
      </c>
      <c r="C246" s="126">
        <v>0</v>
      </c>
      <c r="D246" s="126">
        <f>31689</f>
        <v>31689</v>
      </c>
      <c r="E246" s="302"/>
      <c r="F246" s="117"/>
      <c r="G246" s="126"/>
      <c r="H246" s="126"/>
      <c r="I246" s="126"/>
      <c r="J246" s="14">
        <v>270497</v>
      </c>
      <c r="K246" s="341"/>
    </row>
    <row r="247" spans="1:16" s="3" customFormat="1" ht="30" customHeight="1" x14ac:dyDescent="0.2">
      <c r="A247" s="156"/>
      <c r="B247" s="185" t="s">
        <v>994</v>
      </c>
      <c r="C247" s="297">
        <v>0</v>
      </c>
      <c r="D247" s="297">
        <f>(70381.36+398827.64)</f>
        <v>469209</v>
      </c>
      <c r="E247" s="302"/>
      <c r="F247" s="117"/>
      <c r="G247" s="126"/>
      <c r="H247" s="126"/>
      <c r="I247" s="126"/>
      <c r="J247" s="14">
        <v>0</v>
      </c>
      <c r="P247" s="341"/>
    </row>
    <row r="248" spans="1:16" s="3" customFormat="1" ht="30" customHeight="1" x14ac:dyDescent="0.2">
      <c r="A248" s="156"/>
      <c r="B248" s="185" t="s">
        <v>995</v>
      </c>
      <c r="C248" s="297">
        <v>0</v>
      </c>
      <c r="D248" s="297">
        <f>(205074.76+1162090.24)</f>
        <v>1367165</v>
      </c>
      <c r="E248" s="302"/>
      <c r="F248" s="117"/>
      <c r="G248" s="126"/>
      <c r="H248" s="126"/>
      <c r="I248" s="126"/>
      <c r="J248" s="14">
        <v>0</v>
      </c>
      <c r="P248" s="341"/>
    </row>
    <row r="249" spans="1:16" s="3" customFormat="1" ht="30" customHeight="1" x14ac:dyDescent="0.2">
      <c r="A249" s="156"/>
      <c r="B249" s="185" t="s">
        <v>898</v>
      </c>
      <c r="C249" s="297">
        <v>0</v>
      </c>
      <c r="D249" s="297">
        <f>(169419.91+960046.09)</f>
        <v>1129466</v>
      </c>
      <c r="E249" s="302"/>
      <c r="F249" s="117"/>
      <c r="G249" s="126"/>
      <c r="H249" s="126"/>
      <c r="I249" s="126"/>
      <c r="J249" s="14">
        <v>0</v>
      </c>
      <c r="P249" s="341"/>
    </row>
    <row r="250" spans="1:16" s="3" customFormat="1" ht="30" customHeight="1" x14ac:dyDescent="0.2">
      <c r="A250" s="343"/>
      <c r="B250" s="185" t="s">
        <v>921</v>
      </c>
      <c r="C250" s="126">
        <v>0</v>
      </c>
      <c r="D250" s="126">
        <f>62300-7892.36+15000</f>
        <v>69407.64</v>
      </c>
      <c r="E250" s="302"/>
      <c r="F250" s="117"/>
      <c r="G250" s="126"/>
      <c r="H250" s="126"/>
      <c r="I250" s="126"/>
      <c r="J250" s="14">
        <v>0</v>
      </c>
      <c r="K250" s="341"/>
    </row>
    <row r="251" spans="1:16" s="3" customFormat="1" ht="30" customHeight="1" x14ac:dyDescent="0.2">
      <c r="A251" s="343"/>
      <c r="B251" s="185" t="s">
        <v>1004</v>
      </c>
      <c r="C251" s="126">
        <v>0</v>
      </c>
      <c r="D251" s="126">
        <v>382000</v>
      </c>
      <c r="E251" s="302"/>
      <c r="F251" s="117"/>
      <c r="G251" s="126"/>
      <c r="H251" s="126"/>
      <c r="I251" s="126"/>
      <c r="J251" s="14">
        <v>0</v>
      </c>
      <c r="K251" s="341"/>
    </row>
    <row r="252" spans="1:16" s="3" customFormat="1" ht="30" customHeight="1" x14ac:dyDescent="0.2">
      <c r="A252" s="343"/>
      <c r="B252" s="185" t="s">
        <v>1027</v>
      </c>
      <c r="C252" s="126">
        <v>0</v>
      </c>
      <c r="D252" s="126">
        <v>929000</v>
      </c>
      <c r="E252" s="302"/>
      <c r="F252" s="117"/>
      <c r="G252" s="126"/>
      <c r="H252" s="126"/>
      <c r="I252" s="126"/>
      <c r="J252" s="14">
        <v>0</v>
      </c>
      <c r="K252" s="341"/>
    </row>
    <row r="253" spans="1:16" ht="30" customHeight="1" x14ac:dyDescent="0.2">
      <c r="A253" s="123">
        <v>4121</v>
      </c>
      <c r="B253" s="123" t="s">
        <v>599</v>
      </c>
      <c r="C253" s="122">
        <f>SUM(C254:C263)</f>
        <v>1631120</v>
      </c>
      <c r="D253" s="122">
        <f>SUM(D254:D263)</f>
        <v>2416797.54</v>
      </c>
      <c r="E253" s="134"/>
      <c r="F253" s="117"/>
      <c r="G253" s="120"/>
      <c r="H253" s="120"/>
      <c r="I253" s="120"/>
      <c r="J253" s="14">
        <v>392000</v>
      </c>
    </row>
    <row r="254" spans="1:16" ht="30" customHeight="1" x14ac:dyDescent="0.2">
      <c r="A254" s="123"/>
      <c r="B254" s="155" t="s">
        <v>598</v>
      </c>
      <c r="C254" s="126">
        <v>260000</v>
      </c>
      <c r="D254" s="126">
        <f>260000+34000</f>
        <v>294000</v>
      </c>
      <c r="E254" s="302"/>
      <c r="F254" s="117"/>
      <c r="G254" s="126"/>
      <c r="H254" s="126"/>
      <c r="I254" s="126"/>
      <c r="J254" s="14">
        <v>328000</v>
      </c>
    </row>
    <row r="255" spans="1:16" ht="30" customHeight="1" x14ac:dyDescent="0.2">
      <c r="A255" s="123"/>
      <c r="B255" s="155" t="s">
        <v>597</v>
      </c>
      <c r="C255" s="126">
        <v>3000</v>
      </c>
      <c r="D255" s="126">
        <v>3000</v>
      </c>
      <c r="E255" s="302"/>
      <c r="F255" s="117"/>
      <c r="G255" s="126"/>
      <c r="H255" s="126"/>
      <c r="I255" s="126"/>
      <c r="J255" s="14">
        <v>0</v>
      </c>
    </row>
    <row r="256" spans="1:16" ht="30" customHeight="1" x14ac:dyDescent="0.2">
      <c r="A256" s="184"/>
      <c r="B256" s="185" t="s">
        <v>596</v>
      </c>
      <c r="C256" s="126">
        <v>0</v>
      </c>
      <c r="D256" s="126">
        <v>0</v>
      </c>
      <c r="E256" s="302"/>
      <c r="F256" s="117"/>
      <c r="G256" s="126"/>
      <c r="H256" s="126"/>
      <c r="I256" s="126"/>
      <c r="J256" s="14">
        <v>18000</v>
      </c>
      <c r="K256" s="341"/>
    </row>
    <row r="257" spans="1:16" ht="30" customHeight="1" x14ac:dyDescent="0.2">
      <c r="A257" s="184"/>
      <c r="B257" s="185" t="s">
        <v>595</v>
      </c>
      <c r="C257" s="126">
        <v>735147</v>
      </c>
      <c r="D257" s="126">
        <v>735147</v>
      </c>
      <c r="E257" s="302"/>
      <c r="F257" s="117"/>
      <c r="G257" s="126"/>
      <c r="H257" s="126"/>
      <c r="I257" s="126"/>
      <c r="J257" s="14">
        <v>45000</v>
      </c>
      <c r="K257" s="341"/>
    </row>
    <row r="258" spans="1:16" ht="30" customHeight="1" x14ac:dyDescent="0.2">
      <c r="A258" s="184"/>
      <c r="B258" s="185" t="s">
        <v>594</v>
      </c>
      <c r="C258" s="126">
        <v>632973</v>
      </c>
      <c r="D258" s="126">
        <v>632973</v>
      </c>
      <c r="E258" s="302"/>
      <c r="F258" s="117"/>
      <c r="G258" s="126"/>
      <c r="H258" s="126"/>
      <c r="I258" s="126"/>
      <c r="J258" s="14">
        <v>0</v>
      </c>
      <c r="K258" s="341"/>
    </row>
    <row r="259" spans="1:16" ht="30" customHeight="1" x14ac:dyDescent="0.2">
      <c r="A259" s="184"/>
      <c r="B259" s="185" t="s">
        <v>931</v>
      </c>
      <c r="C259" s="126">
        <v>0</v>
      </c>
      <c r="D259" s="126">
        <f>434660-299918.1-134741.9</f>
        <v>0</v>
      </c>
      <c r="E259" s="302"/>
      <c r="F259" s="117"/>
      <c r="G259" s="126"/>
      <c r="H259" s="126"/>
      <c r="I259" s="126"/>
      <c r="J259" s="14">
        <v>0</v>
      </c>
      <c r="K259" s="341"/>
    </row>
    <row r="260" spans="1:16" ht="30" customHeight="1" x14ac:dyDescent="0.2">
      <c r="A260" s="184"/>
      <c r="B260" s="185" t="s">
        <v>1074</v>
      </c>
      <c r="C260" s="126">
        <v>0</v>
      </c>
      <c r="D260" s="126">
        <v>149629</v>
      </c>
      <c r="E260" s="302"/>
      <c r="F260" s="117"/>
      <c r="G260" s="126"/>
      <c r="H260" s="126"/>
      <c r="I260" s="126"/>
      <c r="J260" s="14">
        <v>0</v>
      </c>
      <c r="K260" s="341"/>
    </row>
    <row r="261" spans="1:16" ht="30" customHeight="1" x14ac:dyDescent="0.2">
      <c r="A261" s="184"/>
      <c r="B261" s="185" t="s">
        <v>593</v>
      </c>
      <c r="C261" s="126">
        <v>0</v>
      </c>
      <c r="D261" s="126">
        <v>4000</v>
      </c>
      <c r="E261" s="302"/>
      <c r="F261" s="117"/>
      <c r="G261" s="126"/>
      <c r="H261" s="126"/>
      <c r="I261" s="126"/>
      <c r="J261" s="14">
        <v>1000</v>
      </c>
    </row>
    <row r="262" spans="1:16" ht="30" customHeight="1" x14ac:dyDescent="0.2">
      <c r="A262" s="123"/>
      <c r="B262" s="155" t="s">
        <v>592</v>
      </c>
      <c r="C262" s="126">
        <v>0</v>
      </c>
      <c r="D262" s="126">
        <v>0</v>
      </c>
      <c r="E262" s="302"/>
      <c r="F262" s="117"/>
      <c r="G262" s="126"/>
      <c r="H262" s="126"/>
      <c r="I262" s="126"/>
      <c r="J262" s="14">
        <v>0</v>
      </c>
    </row>
    <row r="263" spans="1:16" ht="30" customHeight="1" x14ac:dyDescent="0.2">
      <c r="A263" s="123"/>
      <c r="B263" s="155" t="s">
        <v>1011</v>
      </c>
      <c r="C263" s="126">
        <v>0</v>
      </c>
      <c r="D263" s="126">
        <f>598048.54</f>
        <v>598048.54</v>
      </c>
      <c r="E263" s="302"/>
      <c r="F263" s="117"/>
      <c r="G263" s="126"/>
      <c r="H263" s="126"/>
      <c r="I263" s="126"/>
      <c r="J263" s="14">
        <v>0</v>
      </c>
    </row>
    <row r="264" spans="1:16" ht="30" customHeight="1" x14ac:dyDescent="0.2">
      <c r="A264" s="184">
        <v>4122</v>
      </c>
      <c r="B264" s="350" t="s">
        <v>591</v>
      </c>
      <c r="C264" s="121">
        <f>SUM(C265:C269)</f>
        <v>0</v>
      </c>
      <c r="D264" s="121">
        <f>SUM(D265:D269)</f>
        <v>10320194.67</v>
      </c>
      <c r="E264" s="18"/>
      <c r="F264" s="130"/>
      <c r="G264" s="120"/>
      <c r="H264" s="120"/>
      <c r="I264" s="120"/>
      <c r="J264" s="14">
        <v>4721800</v>
      </c>
      <c r="K264" s="341"/>
    </row>
    <row r="265" spans="1:16" s="3" customFormat="1" ht="30" customHeight="1" x14ac:dyDescent="0.2">
      <c r="A265" s="343"/>
      <c r="B265" s="342" t="s">
        <v>590</v>
      </c>
      <c r="C265" s="126">
        <v>0</v>
      </c>
      <c r="D265" s="126">
        <f>106000-6000</f>
        <v>100000</v>
      </c>
      <c r="E265" s="130"/>
      <c r="F265" s="130"/>
      <c r="G265" s="126"/>
      <c r="H265" s="126"/>
      <c r="I265" s="126"/>
      <c r="J265" s="14">
        <v>72000</v>
      </c>
      <c r="K265" s="341"/>
    </row>
    <row r="266" spans="1:16" s="3" customFormat="1" ht="30" customHeight="1" x14ac:dyDescent="0.2">
      <c r="A266" s="343"/>
      <c r="B266" s="342" t="s">
        <v>588</v>
      </c>
      <c r="C266" s="126">
        <v>0</v>
      </c>
      <c r="D266" s="126">
        <f>4123000</f>
        <v>4123000</v>
      </c>
      <c r="E266" s="130"/>
      <c r="F266" s="130"/>
      <c r="G266" s="126"/>
      <c r="H266" s="126"/>
      <c r="I266" s="126"/>
      <c r="J266" s="14">
        <v>1576500</v>
      </c>
      <c r="K266" s="341"/>
    </row>
    <row r="267" spans="1:16" s="3" customFormat="1" ht="30" customHeight="1" x14ac:dyDescent="0.2">
      <c r="A267" s="343"/>
      <c r="B267" s="342" t="s">
        <v>907</v>
      </c>
      <c r="C267" s="126">
        <v>0</v>
      </c>
      <c r="D267" s="126">
        <v>100000</v>
      </c>
      <c r="E267" s="130"/>
      <c r="F267" s="130"/>
      <c r="G267" s="126"/>
      <c r="H267" s="126"/>
      <c r="I267" s="126"/>
      <c r="J267" s="14">
        <v>0</v>
      </c>
      <c r="K267" s="341"/>
    </row>
    <row r="268" spans="1:16" ht="30" customHeight="1" x14ac:dyDescent="0.2">
      <c r="A268" s="124"/>
      <c r="B268" s="185" t="s">
        <v>1022</v>
      </c>
      <c r="C268" s="127">
        <v>0</v>
      </c>
      <c r="D268" s="127">
        <f>(4839.58+27424.29+2670.26+15131.44+4369.37+24759.73)</f>
        <v>79194.670000000013</v>
      </c>
      <c r="E268" s="127"/>
      <c r="F268" s="127"/>
      <c r="G268" s="126"/>
      <c r="H268" s="126"/>
      <c r="I268" s="126"/>
      <c r="J268" s="14">
        <v>310580.34000000003</v>
      </c>
      <c r="P268" s="341"/>
    </row>
    <row r="269" spans="1:16" ht="30" customHeight="1" x14ac:dyDescent="0.2">
      <c r="A269" s="184"/>
      <c r="B269" s="185" t="s">
        <v>587</v>
      </c>
      <c r="C269" s="126">
        <v>0</v>
      </c>
      <c r="D269" s="126">
        <f>5584000+334000</f>
        <v>5918000</v>
      </c>
      <c r="E269" s="130"/>
      <c r="F269" s="130"/>
      <c r="G269" s="126"/>
      <c r="H269" s="126"/>
      <c r="I269" s="126"/>
      <c r="J269" s="351">
        <v>3058800</v>
      </c>
      <c r="K269" s="341"/>
    </row>
    <row r="270" spans="1:16" s="3" customFormat="1" ht="30" customHeight="1" x14ac:dyDescent="0.2">
      <c r="A270" s="576">
        <v>4129</v>
      </c>
      <c r="B270" s="19" t="s">
        <v>947</v>
      </c>
      <c r="C270" s="120">
        <v>0</v>
      </c>
      <c r="D270" s="120">
        <f>1000</f>
        <v>1000</v>
      </c>
      <c r="E270" s="121"/>
      <c r="F270" s="130"/>
      <c r="G270" s="120"/>
      <c r="H270" s="120"/>
      <c r="I270" s="120"/>
      <c r="J270" s="14">
        <v>0</v>
      </c>
    </row>
    <row r="271" spans="1:16" s="3" customFormat="1" ht="30" customHeight="1" x14ac:dyDescent="0.2">
      <c r="A271" s="576">
        <v>4134</v>
      </c>
      <c r="B271" s="123" t="s">
        <v>785</v>
      </c>
      <c r="C271" s="120">
        <v>5900000</v>
      </c>
      <c r="D271" s="120">
        <v>5900000</v>
      </c>
      <c r="E271" s="121"/>
      <c r="F271" s="130"/>
      <c r="G271" s="120"/>
      <c r="H271" s="120"/>
      <c r="I271" s="120"/>
      <c r="J271" s="14">
        <v>3042302.03</v>
      </c>
    </row>
    <row r="272" spans="1:16" s="3" customFormat="1" ht="30" customHeight="1" x14ac:dyDescent="0.2">
      <c r="A272" s="123">
        <v>4213</v>
      </c>
      <c r="B272" s="123" t="s">
        <v>586</v>
      </c>
      <c r="C272" s="122">
        <f>SUM(C273:C276)</f>
        <v>1048657.06</v>
      </c>
      <c r="D272" s="122">
        <f>SUM(D273:D278)</f>
        <v>910147</v>
      </c>
      <c r="E272" s="121"/>
      <c r="F272" s="130"/>
      <c r="G272" s="120"/>
      <c r="H272" s="120"/>
      <c r="I272" s="120"/>
      <c r="J272" s="14">
        <v>0</v>
      </c>
    </row>
    <row r="273" spans="1:11" s="2" customFormat="1" ht="30" customHeight="1" x14ac:dyDescent="0.2">
      <c r="A273" s="131"/>
      <c r="B273" s="307" t="s">
        <v>1048</v>
      </c>
      <c r="C273" s="126">
        <v>250000</v>
      </c>
      <c r="D273" s="126">
        <f>250000-12036-100</f>
        <v>237864</v>
      </c>
      <c r="E273" s="302"/>
      <c r="F273" s="117"/>
      <c r="G273" s="126"/>
      <c r="H273" s="126"/>
      <c r="I273" s="126"/>
      <c r="J273" s="201">
        <v>0</v>
      </c>
    </row>
    <row r="274" spans="1:11" s="2" customFormat="1" ht="30" customHeight="1" x14ac:dyDescent="0.2">
      <c r="A274" s="131"/>
      <c r="B274" s="307" t="s">
        <v>948</v>
      </c>
      <c r="C274" s="126">
        <v>200000</v>
      </c>
      <c r="D274" s="126">
        <f>200000-200000</f>
        <v>0</v>
      </c>
      <c r="E274" s="297"/>
      <c r="F274" s="130"/>
      <c r="G274" s="126"/>
      <c r="H274" s="126"/>
      <c r="I274" s="126"/>
      <c r="J274" s="14">
        <v>0</v>
      </c>
    </row>
    <row r="275" spans="1:11" s="2" customFormat="1" ht="30" customHeight="1" x14ac:dyDescent="0.2">
      <c r="A275" s="131"/>
      <c r="B275" s="307" t="s">
        <v>1057</v>
      </c>
      <c r="C275" s="126">
        <v>215516.54</v>
      </c>
      <c r="D275" s="126">
        <f>215516.54+0.46</f>
        <v>215517</v>
      </c>
      <c r="E275" s="297"/>
      <c r="F275" s="130"/>
      <c r="G275" s="126"/>
      <c r="H275" s="126"/>
      <c r="I275" s="126"/>
      <c r="J275" s="14">
        <v>0</v>
      </c>
    </row>
    <row r="276" spans="1:11" s="2" customFormat="1" ht="30" customHeight="1" x14ac:dyDescent="0.2">
      <c r="A276" s="131"/>
      <c r="B276" s="307" t="s">
        <v>1058</v>
      </c>
      <c r="C276" s="126">
        <v>383140.52</v>
      </c>
      <c r="D276" s="126">
        <f>383140.52-0.52</f>
        <v>383140</v>
      </c>
      <c r="E276" s="297"/>
      <c r="F276" s="130"/>
      <c r="G276" s="126"/>
      <c r="H276" s="126"/>
      <c r="I276" s="126"/>
      <c r="J276" s="14">
        <v>0</v>
      </c>
    </row>
    <row r="277" spans="1:11" s="2" customFormat="1" ht="30" customHeight="1" x14ac:dyDescent="0.2">
      <c r="A277" s="131"/>
      <c r="B277" s="131" t="s">
        <v>1037</v>
      </c>
      <c r="C277" s="127">
        <v>0</v>
      </c>
      <c r="D277" s="127">
        <v>26506</v>
      </c>
      <c r="E277" s="126"/>
      <c r="F277" s="126"/>
      <c r="G277" s="126"/>
      <c r="H277" s="126"/>
      <c r="I277" s="126"/>
      <c r="J277" s="6"/>
    </row>
    <row r="278" spans="1:11" s="2" customFormat="1" ht="30" customHeight="1" x14ac:dyDescent="0.2">
      <c r="A278" s="131"/>
      <c r="B278" s="131" t="s">
        <v>1038</v>
      </c>
      <c r="C278" s="127">
        <v>0</v>
      </c>
      <c r="D278" s="127">
        <v>47120</v>
      </c>
      <c r="E278" s="126"/>
      <c r="F278" s="126"/>
      <c r="G278" s="126"/>
      <c r="H278" s="126"/>
      <c r="I278" s="126"/>
      <c r="J278" s="6"/>
    </row>
    <row r="279" spans="1:11" s="3" customFormat="1" ht="30" customHeight="1" x14ac:dyDescent="0.2">
      <c r="A279" s="184">
        <v>4216</v>
      </c>
      <c r="B279" s="349" t="s">
        <v>581</v>
      </c>
      <c r="C279" s="348">
        <f>SUM(C280:C294)</f>
        <v>11598412.65</v>
      </c>
      <c r="D279" s="348">
        <f>SUM(D280:D294)</f>
        <v>10699579.199999999</v>
      </c>
      <c r="E279" s="122"/>
      <c r="F279" s="127"/>
      <c r="G279" s="120"/>
      <c r="H279" s="120"/>
      <c r="I279" s="120"/>
      <c r="J279" s="14">
        <v>6579327.0099999998</v>
      </c>
      <c r="K279" s="341"/>
    </row>
    <row r="280" spans="1:11" s="3" customFormat="1" ht="30" customHeight="1" x14ac:dyDescent="0.2">
      <c r="A280" s="343"/>
      <c r="B280" s="347" t="s">
        <v>949</v>
      </c>
      <c r="C280" s="126">
        <v>5992790.4299999997</v>
      </c>
      <c r="D280" s="126">
        <f>5992790.43-5992790.43</f>
        <v>0</v>
      </c>
      <c r="E280" s="127"/>
      <c r="F280" s="127"/>
      <c r="G280" s="126"/>
      <c r="H280" s="126"/>
      <c r="I280" s="126"/>
      <c r="J280" s="14">
        <v>0</v>
      </c>
      <c r="K280" s="341"/>
    </row>
    <row r="281" spans="1:11" s="3" customFormat="1" ht="30" customHeight="1" x14ac:dyDescent="0.2">
      <c r="A281" s="343"/>
      <c r="B281" s="347" t="s">
        <v>950</v>
      </c>
      <c r="C281" s="126">
        <v>3605622.22</v>
      </c>
      <c r="D281" s="126">
        <f>3605622.22-3605622.22</f>
        <v>0</v>
      </c>
      <c r="E281" s="302"/>
      <c r="F281" s="117"/>
      <c r="G281" s="126"/>
      <c r="H281" s="126"/>
      <c r="I281" s="126"/>
      <c r="J281" s="201">
        <v>0</v>
      </c>
      <c r="K281" s="341"/>
    </row>
    <row r="282" spans="1:11" s="3" customFormat="1" ht="30" customHeight="1" x14ac:dyDescent="0.2">
      <c r="A282" s="343"/>
      <c r="B282" s="342" t="s">
        <v>904</v>
      </c>
      <c r="C282" s="126">
        <v>0</v>
      </c>
      <c r="D282" s="126">
        <f>(59625+506812.5)</f>
        <v>566437.5</v>
      </c>
      <c r="E282" s="104"/>
      <c r="F282" s="206"/>
      <c r="G282" s="126"/>
      <c r="H282" s="126"/>
      <c r="I282" s="126"/>
      <c r="J282" s="14">
        <v>0</v>
      </c>
      <c r="K282" s="341"/>
    </row>
    <row r="283" spans="1:11" s="3" customFormat="1" ht="30" customHeight="1" x14ac:dyDescent="0.2">
      <c r="A283" s="343"/>
      <c r="B283" s="185" t="s">
        <v>1019</v>
      </c>
      <c r="C283" s="126">
        <v>0</v>
      </c>
      <c r="D283" s="126">
        <v>142709.29</v>
      </c>
      <c r="E283" s="130"/>
      <c r="F283" s="130"/>
      <c r="G283" s="126"/>
      <c r="H283" s="126"/>
      <c r="I283" s="126"/>
      <c r="J283" s="14">
        <v>1249.8499999999999</v>
      </c>
      <c r="K283" s="341"/>
    </row>
    <row r="284" spans="1:11" s="3" customFormat="1" ht="30" customHeight="1" x14ac:dyDescent="0.2">
      <c r="A284" s="343"/>
      <c r="B284" s="185" t="s">
        <v>1020</v>
      </c>
      <c r="C284" s="126">
        <v>0</v>
      </c>
      <c r="D284" s="126">
        <v>2426057.88</v>
      </c>
      <c r="E284" s="130"/>
      <c r="F284" s="130"/>
      <c r="G284" s="126"/>
      <c r="H284" s="126"/>
      <c r="I284" s="126"/>
      <c r="J284" s="14">
        <v>24996.9</v>
      </c>
      <c r="K284" s="341"/>
    </row>
    <row r="285" spans="1:11" s="3" customFormat="1" ht="30" customHeight="1" x14ac:dyDescent="0.2">
      <c r="A285" s="343"/>
      <c r="B285" s="185" t="s">
        <v>1043</v>
      </c>
      <c r="C285" s="126">
        <v>0</v>
      </c>
      <c r="D285" s="126">
        <v>155438.29999999999</v>
      </c>
      <c r="E285" s="130"/>
      <c r="F285" s="130"/>
      <c r="G285" s="126"/>
      <c r="H285" s="126"/>
      <c r="I285" s="126"/>
      <c r="J285" s="14">
        <v>1249.8499999999999</v>
      </c>
      <c r="K285" s="341"/>
    </row>
    <row r="286" spans="1:11" s="3" customFormat="1" ht="30" customHeight="1" x14ac:dyDescent="0.2">
      <c r="A286" s="343"/>
      <c r="B286" s="185" t="s">
        <v>1044</v>
      </c>
      <c r="C286" s="126">
        <v>0</v>
      </c>
      <c r="D286" s="126">
        <v>2642451.15</v>
      </c>
      <c r="E286" s="130"/>
      <c r="F286" s="130"/>
      <c r="G286" s="126"/>
      <c r="H286" s="126"/>
      <c r="I286" s="126"/>
      <c r="J286" s="14">
        <v>24996.9</v>
      </c>
      <c r="K286" s="341"/>
    </row>
    <row r="287" spans="1:11" s="3" customFormat="1" ht="30" customHeight="1" x14ac:dyDescent="0.2">
      <c r="A287" s="343"/>
      <c r="B287" s="185" t="s">
        <v>872</v>
      </c>
      <c r="C287" s="126">
        <v>0</v>
      </c>
      <c r="D287" s="126">
        <v>51518.6</v>
      </c>
      <c r="E287" s="206"/>
      <c r="F287" s="206"/>
      <c r="G287" s="126"/>
      <c r="H287" s="126"/>
      <c r="I287" s="126"/>
      <c r="J287" s="14">
        <v>0</v>
      </c>
      <c r="K287" s="341"/>
    </row>
    <row r="288" spans="1:11" s="3" customFormat="1" ht="30" customHeight="1" x14ac:dyDescent="0.2">
      <c r="A288" s="343"/>
      <c r="B288" s="185" t="s">
        <v>873</v>
      </c>
      <c r="C288" s="126">
        <v>0</v>
      </c>
      <c r="D288" s="126">
        <v>875816.2</v>
      </c>
      <c r="E288" s="206"/>
      <c r="F288" s="206"/>
      <c r="G288" s="126"/>
      <c r="H288" s="126"/>
      <c r="I288" s="126"/>
      <c r="J288" s="14">
        <v>0</v>
      </c>
      <c r="K288" s="341"/>
    </row>
    <row r="289" spans="1:11" ht="30" customHeight="1" x14ac:dyDescent="0.2">
      <c r="A289" s="185"/>
      <c r="B289" s="185" t="s">
        <v>885</v>
      </c>
      <c r="C289" s="126">
        <v>0</v>
      </c>
      <c r="D289" s="126">
        <v>43084.73</v>
      </c>
      <c r="E289" s="206"/>
      <c r="F289" s="206"/>
      <c r="G289" s="126"/>
      <c r="H289" s="126"/>
      <c r="I289" s="126"/>
      <c r="J289" s="14">
        <v>0</v>
      </c>
      <c r="K289" s="341"/>
    </row>
    <row r="290" spans="1:11" ht="30" customHeight="1" x14ac:dyDescent="0.2">
      <c r="A290" s="185"/>
      <c r="B290" s="185" t="s">
        <v>886</v>
      </c>
      <c r="C290" s="126">
        <v>0</v>
      </c>
      <c r="D290" s="126">
        <v>861694.74</v>
      </c>
      <c r="E290" s="206"/>
      <c r="F290" s="206"/>
      <c r="G290" s="126"/>
      <c r="H290" s="126"/>
      <c r="I290" s="126"/>
      <c r="J290" s="14">
        <v>0</v>
      </c>
      <c r="K290" s="341"/>
    </row>
    <row r="291" spans="1:11" ht="30" customHeight="1" x14ac:dyDescent="0.2">
      <c r="A291" s="185"/>
      <c r="B291" s="185" t="s">
        <v>1033</v>
      </c>
      <c r="C291" s="126">
        <v>0</v>
      </c>
      <c r="D291" s="126">
        <v>33696.629999999997</v>
      </c>
      <c r="E291" s="206"/>
      <c r="F291" s="206"/>
      <c r="G291" s="126"/>
      <c r="H291" s="126"/>
      <c r="I291" s="126"/>
      <c r="J291" s="14">
        <v>0</v>
      </c>
      <c r="K291" s="341"/>
    </row>
    <row r="292" spans="1:11" ht="30" customHeight="1" x14ac:dyDescent="0.2">
      <c r="A292" s="185"/>
      <c r="B292" s="185" t="s">
        <v>1034</v>
      </c>
      <c r="C292" s="126">
        <v>0</v>
      </c>
      <c r="D292" s="126">
        <v>673932.66</v>
      </c>
      <c r="E292" s="206"/>
      <c r="F292" s="206"/>
      <c r="G292" s="126"/>
      <c r="H292" s="126"/>
      <c r="I292" s="126"/>
      <c r="J292" s="14">
        <v>0</v>
      </c>
      <c r="K292" s="341"/>
    </row>
    <row r="293" spans="1:11" s="3" customFormat="1" ht="30" customHeight="1" x14ac:dyDescent="0.2">
      <c r="A293" s="180"/>
      <c r="B293" s="237" t="s">
        <v>892</v>
      </c>
      <c r="C293" s="130">
        <v>0</v>
      </c>
      <c r="D293" s="130">
        <f>2226747.48-5.96</f>
        <v>2226741.52</v>
      </c>
      <c r="E293" s="130"/>
      <c r="F293" s="130"/>
      <c r="G293" s="126"/>
      <c r="H293" s="126"/>
      <c r="I293" s="126"/>
      <c r="J293" s="6">
        <v>0</v>
      </c>
    </row>
    <row r="294" spans="1:11" s="3" customFormat="1" ht="30" customHeight="1" x14ac:dyDescent="0.2">
      <c r="A294" s="346"/>
      <c r="B294" s="154" t="s">
        <v>578</v>
      </c>
      <c r="C294" s="196">
        <v>2000000</v>
      </c>
      <c r="D294" s="196">
        <f>2000000-2000000</f>
        <v>0</v>
      </c>
      <c r="E294" s="483"/>
      <c r="F294" s="483"/>
      <c r="G294" s="126"/>
      <c r="H294" s="126"/>
      <c r="I294" s="126"/>
      <c r="J294" s="14">
        <v>0</v>
      </c>
    </row>
    <row r="295" spans="1:11" s="3" customFormat="1" ht="30" customHeight="1" x14ac:dyDescent="0.2">
      <c r="A295" s="123">
        <v>4222</v>
      </c>
      <c r="B295" s="345" t="s">
        <v>577</v>
      </c>
      <c r="C295" s="344">
        <f>SUM(C296:C300)</f>
        <v>9260000</v>
      </c>
      <c r="D295" s="344">
        <f>SUM(D296:D300)</f>
        <v>4009154.25</v>
      </c>
      <c r="E295" s="121"/>
      <c r="F295" s="130"/>
      <c r="G295" s="120"/>
      <c r="H295" s="120"/>
      <c r="I295" s="120"/>
      <c r="J295" s="14">
        <v>57050</v>
      </c>
    </row>
    <row r="296" spans="1:11" s="2" customFormat="1" ht="30" customHeight="1" x14ac:dyDescent="0.2">
      <c r="A296" s="340"/>
      <c r="B296" s="339" t="s">
        <v>576</v>
      </c>
      <c r="C296" s="126">
        <v>3700000</v>
      </c>
      <c r="D296" s="126">
        <f>3700000+(3436854.42-3700000)</f>
        <v>3436854.42</v>
      </c>
      <c r="E296" s="297"/>
      <c r="F296" s="130"/>
      <c r="G296" s="126"/>
      <c r="H296" s="126"/>
      <c r="I296" s="126"/>
      <c r="J296" s="14">
        <v>0</v>
      </c>
    </row>
    <row r="297" spans="1:11" s="3" customFormat="1" ht="30" customHeight="1" x14ac:dyDescent="0.2">
      <c r="A297" s="343"/>
      <c r="B297" s="342" t="s">
        <v>574</v>
      </c>
      <c r="C297" s="126">
        <v>5500000</v>
      </c>
      <c r="D297" s="126">
        <f>5500000-5500000</f>
        <v>0</v>
      </c>
      <c r="E297" s="297"/>
      <c r="F297" s="130"/>
      <c r="G297" s="126"/>
      <c r="H297" s="126"/>
      <c r="I297" s="126"/>
      <c r="J297" s="14">
        <v>0</v>
      </c>
      <c r="K297" s="341"/>
    </row>
    <row r="298" spans="1:11" s="2" customFormat="1" ht="30" customHeight="1" x14ac:dyDescent="0.2">
      <c r="A298" s="340"/>
      <c r="B298" s="339" t="s">
        <v>573</v>
      </c>
      <c r="C298" s="126">
        <v>60000</v>
      </c>
      <c r="D298" s="126">
        <f>60000-60000+65339.83</f>
        <v>65339.83</v>
      </c>
      <c r="E298" s="297"/>
      <c r="F298" s="130"/>
      <c r="G298" s="126"/>
      <c r="H298" s="126"/>
      <c r="I298" s="126"/>
      <c r="J298" s="14">
        <v>0</v>
      </c>
    </row>
    <row r="299" spans="1:11" s="2" customFormat="1" ht="30" customHeight="1" x14ac:dyDescent="0.2">
      <c r="A299" s="340"/>
      <c r="B299" s="339" t="s">
        <v>985</v>
      </c>
      <c r="C299" s="126">
        <v>0</v>
      </c>
      <c r="D299" s="126">
        <v>186960</v>
      </c>
      <c r="E299" s="297"/>
      <c r="F299" s="130"/>
      <c r="G299" s="126"/>
      <c r="H299" s="126"/>
      <c r="I299" s="126"/>
      <c r="J299" s="14">
        <v>0</v>
      </c>
    </row>
    <row r="300" spans="1:11" s="2" customFormat="1" ht="30" customHeight="1" x14ac:dyDescent="0.2">
      <c r="A300" s="340" t="s">
        <v>986</v>
      </c>
      <c r="B300" s="339" t="s">
        <v>987</v>
      </c>
      <c r="C300" s="126">
        <v>0</v>
      </c>
      <c r="D300" s="126">
        <v>320000</v>
      </c>
      <c r="E300" s="297"/>
      <c r="F300" s="130"/>
      <c r="G300" s="126"/>
      <c r="H300" s="126"/>
      <c r="I300" s="126"/>
      <c r="J300" s="14">
        <v>0</v>
      </c>
    </row>
    <row r="301" spans="1:11" s="3" customFormat="1" ht="30" customHeight="1" thickBot="1" x14ac:dyDescent="0.25">
      <c r="A301" s="338"/>
      <c r="B301" s="337"/>
      <c r="C301" s="336"/>
      <c r="D301" s="336"/>
      <c r="E301" s="302"/>
      <c r="F301" s="117"/>
      <c r="G301" s="151"/>
      <c r="H301" s="151"/>
      <c r="I301" s="151"/>
      <c r="J301" s="14"/>
    </row>
    <row r="302" spans="1:11" s="587" customFormat="1" ht="30" customHeight="1" thickBot="1" x14ac:dyDescent="0.4">
      <c r="A302" s="584"/>
      <c r="B302" s="324" t="s">
        <v>572</v>
      </c>
      <c r="C302" s="585">
        <f>SUM(C53+C89+C197+C215)</f>
        <v>706565336.28349996</v>
      </c>
      <c r="D302" s="585">
        <f>SUM(D53+D89+D197+D215)</f>
        <v>689633240.88349998</v>
      </c>
      <c r="E302" s="571"/>
      <c r="F302" s="317"/>
      <c r="G302" s="586"/>
      <c r="H302" s="586"/>
      <c r="I302" s="586"/>
      <c r="J302" s="574">
        <v>321151036.81</v>
      </c>
    </row>
    <row r="303" spans="1:11" s="3" customFormat="1" ht="30" customHeight="1" thickBot="1" x14ac:dyDescent="0.3">
      <c r="A303" s="232"/>
      <c r="B303" s="334"/>
      <c r="C303" s="317"/>
      <c r="D303" s="317"/>
      <c r="E303" s="511"/>
      <c r="F303" s="317"/>
      <c r="G303" s="317"/>
      <c r="H303" s="317"/>
      <c r="I303" s="317"/>
      <c r="J303" s="14"/>
    </row>
    <row r="304" spans="1:11" s="572" customFormat="1" ht="30" customHeight="1" thickBot="1" x14ac:dyDescent="0.35">
      <c r="A304" s="335"/>
      <c r="B304" s="139" t="s">
        <v>571</v>
      </c>
      <c r="C304" s="323">
        <f>SUM(C305:C308)</f>
        <v>195741180.47</v>
      </c>
      <c r="D304" s="323">
        <f>SUM(D305:D308)</f>
        <v>190545980.47</v>
      </c>
      <c r="E304" s="571"/>
      <c r="F304" s="511"/>
      <c r="G304" s="571"/>
      <c r="H304" s="571"/>
      <c r="I304" s="571"/>
      <c r="J304" s="574">
        <v>-35542618.759999998</v>
      </c>
    </row>
    <row r="305" spans="1:13" ht="30" customHeight="1" x14ac:dyDescent="0.2">
      <c r="A305" s="248">
        <v>8115</v>
      </c>
      <c r="B305" s="333" t="s">
        <v>570</v>
      </c>
      <c r="C305" s="120">
        <v>46346393.390000001</v>
      </c>
      <c r="D305" s="120">
        <f>46346393.39-7195200+2000000</f>
        <v>41151193.390000001</v>
      </c>
      <c r="E305" s="120"/>
      <c r="F305" s="126"/>
      <c r="G305" s="120"/>
      <c r="H305" s="120"/>
      <c r="I305" s="120"/>
      <c r="J305" s="6">
        <v>-83381603.870000005</v>
      </c>
    </row>
    <row r="306" spans="1:13" ht="30" customHeight="1" x14ac:dyDescent="0.2">
      <c r="A306" s="30">
        <v>8123</v>
      </c>
      <c r="B306" s="332" t="s">
        <v>568</v>
      </c>
      <c r="C306" s="120">
        <v>100000000</v>
      </c>
      <c r="D306" s="120">
        <v>100000000</v>
      </c>
      <c r="E306" s="121"/>
      <c r="F306" s="130"/>
      <c r="G306" s="120"/>
      <c r="H306" s="120"/>
      <c r="I306" s="120"/>
      <c r="J306" s="6">
        <v>0</v>
      </c>
    </row>
    <row r="307" spans="1:13" ht="30" customHeight="1" x14ac:dyDescent="0.2">
      <c r="A307" s="30">
        <v>8125</v>
      </c>
      <c r="B307" s="332" t="s">
        <v>567</v>
      </c>
      <c r="C307" s="120">
        <v>50000000</v>
      </c>
      <c r="D307" s="120">
        <v>50000000</v>
      </c>
      <c r="E307" s="122"/>
      <c r="F307" s="127"/>
      <c r="G307" s="120"/>
      <c r="H307" s="121"/>
      <c r="I307" s="120"/>
      <c r="J307" s="6">
        <v>0</v>
      </c>
    </row>
    <row r="308" spans="1:13" s="330" customFormat="1" ht="30" customHeight="1" x14ac:dyDescent="0.4">
      <c r="A308" s="239">
        <v>8901</v>
      </c>
      <c r="B308" s="331" t="s">
        <v>566</v>
      </c>
      <c r="C308" s="122">
        <f>SUM(C309:C311)</f>
        <v>-605212.92000000004</v>
      </c>
      <c r="D308" s="122">
        <f>SUM(D309:D311)</f>
        <v>-605212.92000000004</v>
      </c>
      <c r="E308" s="122"/>
      <c r="F308" s="127"/>
      <c r="G308" s="120"/>
      <c r="H308" s="121"/>
      <c r="I308" s="120"/>
      <c r="J308" s="6">
        <v>-2161014.89</v>
      </c>
    </row>
    <row r="309" spans="1:13" s="328" customFormat="1" ht="30" customHeight="1" x14ac:dyDescent="0.35">
      <c r="A309" s="307"/>
      <c r="B309" s="329" t="s">
        <v>565</v>
      </c>
      <c r="C309" s="127">
        <v>-605212.92000000004</v>
      </c>
      <c r="D309" s="127">
        <v>-605212.92000000004</v>
      </c>
      <c r="E309" s="127"/>
      <c r="F309" s="127"/>
      <c r="G309" s="126"/>
      <c r="H309" s="130"/>
      <c r="I309" s="126"/>
      <c r="J309" s="6">
        <v>-302606.46000000002</v>
      </c>
    </row>
    <row r="310" spans="1:13" ht="30" customHeight="1" x14ac:dyDescent="0.2">
      <c r="A310" s="237"/>
      <c r="B310" s="237" t="s">
        <v>564</v>
      </c>
      <c r="C310" s="126">
        <v>0</v>
      </c>
      <c r="D310" s="126">
        <v>0</v>
      </c>
      <c r="E310" s="130"/>
      <c r="F310" s="130"/>
      <c r="G310" s="126"/>
      <c r="H310" s="130"/>
      <c r="I310" s="126"/>
      <c r="J310" s="6">
        <v>-1858408.43</v>
      </c>
    </row>
    <row r="311" spans="1:13" ht="30" customHeight="1" x14ac:dyDescent="0.2">
      <c r="A311" s="237"/>
      <c r="B311" s="237" t="s">
        <v>966</v>
      </c>
      <c r="C311" s="126">
        <v>0</v>
      </c>
      <c r="D311" s="126">
        <v>0</v>
      </c>
      <c r="E311" s="130"/>
      <c r="F311" s="130"/>
      <c r="G311" s="126"/>
      <c r="H311" s="130"/>
      <c r="I311" s="126"/>
      <c r="J311" s="6">
        <v>0</v>
      </c>
    </row>
    <row r="312" spans="1:13" ht="30" customHeight="1" thickBot="1" x14ac:dyDescent="0.25">
      <c r="A312" s="327"/>
      <c r="B312" s="327"/>
      <c r="C312" s="326"/>
      <c r="D312" s="326"/>
      <c r="E312" s="486"/>
      <c r="F312" s="151"/>
      <c r="G312" s="486"/>
      <c r="H312" s="486"/>
      <c r="I312" s="486"/>
      <c r="J312" s="6"/>
    </row>
    <row r="313" spans="1:13" s="322" customFormat="1" ht="30" customHeight="1" thickBot="1" x14ac:dyDescent="0.45">
      <c r="A313" s="325"/>
      <c r="B313" s="324" t="s">
        <v>563</v>
      </c>
      <c r="C313" s="588">
        <f>SUM(C302+C304)</f>
        <v>902306516.75349998</v>
      </c>
      <c r="D313" s="588">
        <f>SUM(D302+D304)</f>
        <v>880179221.35350001</v>
      </c>
      <c r="E313" s="571"/>
      <c r="F313" s="511"/>
      <c r="G313" s="586"/>
      <c r="H313" s="586"/>
      <c r="I313" s="586"/>
      <c r="J313" s="6">
        <v>285608418.05000001</v>
      </c>
      <c r="L313" s="756"/>
      <c r="M313" s="756"/>
    </row>
    <row r="314" spans="1:13" s="17" customFormat="1" ht="30" customHeight="1" thickBot="1" x14ac:dyDescent="0.45">
      <c r="A314" s="321"/>
      <c r="B314" s="320"/>
      <c r="C314" s="319"/>
      <c r="D314" s="319"/>
      <c r="E314" s="389"/>
      <c r="F314" s="317"/>
      <c r="G314" s="389"/>
      <c r="H314" s="389"/>
      <c r="I314" s="389"/>
      <c r="J314" s="6"/>
    </row>
    <row r="315" spans="1:13" s="3" customFormat="1" ht="30" customHeight="1" thickBot="1" x14ac:dyDescent="0.35">
      <c r="A315" s="318"/>
      <c r="B315" s="139" t="s">
        <v>562</v>
      </c>
      <c r="C315" s="317"/>
      <c r="D315" s="317"/>
      <c r="E315" s="317"/>
      <c r="F315" s="317"/>
      <c r="G315" s="317"/>
      <c r="H315" s="317"/>
      <c r="I315" s="317"/>
      <c r="J315" s="6"/>
    </row>
    <row r="316" spans="1:13" ht="30" customHeight="1" thickBot="1" x14ac:dyDescent="0.35">
      <c r="A316" s="316"/>
      <c r="B316" s="139" t="s">
        <v>561</v>
      </c>
      <c r="C316" s="457">
        <f>C317+C330+C350+C356</f>
        <v>47057788.329999998</v>
      </c>
      <c r="D316" s="457">
        <f>D317+D330+D350+D356</f>
        <v>51591620.950000003</v>
      </c>
      <c r="E316" s="575"/>
      <c r="F316" s="705"/>
      <c r="G316" s="571"/>
      <c r="H316" s="571"/>
      <c r="I316" s="571"/>
      <c r="J316" s="6">
        <v>16714171.560000001</v>
      </c>
    </row>
    <row r="317" spans="1:13" ht="30" customHeight="1" thickBot="1" x14ac:dyDescent="0.25">
      <c r="A317" s="226"/>
      <c r="B317" s="226" t="s">
        <v>560</v>
      </c>
      <c r="C317" s="314">
        <f>SUM(C318+C322+C327)</f>
        <v>1985000</v>
      </c>
      <c r="D317" s="314">
        <f>SUM(D318+D322+D327)</f>
        <v>1985000</v>
      </c>
      <c r="E317" s="312"/>
      <c r="F317" s="705"/>
      <c r="G317" s="479"/>
      <c r="H317" s="479"/>
      <c r="I317" s="583"/>
      <c r="J317" s="6">
        <v>222590.03</v>
      </c>
    </row>
    <row r="318" spans="1:13" ht="30" customHeight="1" x14ac:dyDescent="0.2">
      <c r="A318" s="224">
        <v>2310</v>
      </c>
      <c r="B318" s="224" t="s">
        <v>559</v>
      </c>
      <c r="C318" s="217">
        <f>SUM(C319:C321)</f>
        <v>265000</v>
      </c>
      <c r="D318" s="217">
        <f>SUM(D319:D321)</f>
        <v>265000</v>
      </c>
      <c r="E318" s="313"/>
      <c r="F318" s="514"/>
      <c r="G318" s="120"/>
      <c r="H318" s="120"/>
      <c r="I318" s="120"/>
      <c r="J318" s="6">
        <v>0</v>
      </c>
    </row>
    <row r="319" spans="1:13" ht="30" customHeight="1" x14ac:dyDescent="0.2">
      <c r="A319" s="293" t="s">
        <v>558</v>
      </c>
      <c r="B319" s="155" t="s">
        <v>557</v>
      </c>
      <c r="C319" s="126">
        <v>15000</v>
      </c>
      <c r="D319" s="126">
        <v>15000</v>
      </c>
      <c r="E319" s="127"/>
      <c r="F319" s="127"/>
      <c r="G319" s="126"/>
      <c r="H319" s="126"/>
      <c r="I319" s="126"/>
      <c r="J319" s="6">
        <v>0</v>
      </c>
    </row>
    <row r="320" spans="1:13" ht="30" customHeight="1" x14ac:dyDescent="0.2">
      <c r="A320" s="293" t="s">
        <v>556</v>
      </c>
      <c r="B320" s="155" t="s">
        <v>555</v>
      </c>
      <c r="C320" s="126">
        <v>150000</v>
      </c>
      <c r="D320" s="126">
        <v>150000</v>
      </c>
      <c r="E320" s="127"/>
      <c r="F320" s="127"/>
      <c r="G320" s="126"/>
      <c r="H320" s="126"/>
      <c r="I320" s="126"/>
      <c r="J320" s="6">
        <v>0</v>
      </c>
    </row>
    <row r="321" spans="1:10" ht="30" customHeight="1" x14ac:dyDescent="0.2">
      <c r="A321" s="293" t="s">
        <v>554</v>
      </c>
      <c r="B321" s="155" t="s">
        <v>553</v>
      </c>
      <c r="C321" s="126">
        <v>100000</v>
      </c>
      <c r="D321" s="126">
        <v>100000</v>
      </c>
      <c r="E321" s="127"/>
      <c r="F321" s="127"/>
      <c r="G321" s="126"/>
      <c r="H321" s="126"/>
      <c r="I321" s="126"/>
      <c r="J321" s="6">
        <v>0</v>
      </c>
    </row>
    <row r="322" spans="1:10" ht="30" customHeight="1" x14ac:dyDescent="0.2">
      <c r="A322" s="123">
        <v>2321</v>
      </c>
      <c r="B322" s="123" t="s">
        <v>552</v>
      </c>
      <c r="C322" s="122">
        <f>SUM(C323:C326)</f>
        <v>1470000</v>
      </c>
      <c r="D322" s="122">
        <f>SUM(D323:D326)</f>
        <v>1470000</v>
      </c>
      <c r="E322" s="122"/>
      <c r="F322" s="127"/>
      <c r="G322" s="120"/>
      <c r="H322" s="120"/>
      <c r="I322" s="120"/>
      <c r="J322" s="6">
        <v>222590.03</v>
      </c>
    </row>
    <row r="323" spans="1:10" ht="30" customHeight="1" x14ac:dyDescent="0.2">
      <c r="A323" s="293" t="s">
        <v>551</v>
      </c>
      <c r="B323" s="155" t="s">
        <v>550</v>
      </c>
      <c r="C323" s="126">
        <v>170000</v>
      </c>
      <c r="D323" s="126">
        <f>170000+15000</f>
        <v>185000</v>
      </c>
      <c r="E323" s="133"/>
      <c r="F323" s="133"/>
      <c r="G323" s="126"/>
      <c r="H323" s="126"/>
      <c r="I323" s="126"/>
      <c r="J323" s="6">
        <v>45639.33</v>
      </c>
    </row>
    <row r="324" spans="1:10" ht="30" customHeight="1" x14ac:dyDescent="0.2">
      <c r="A324" s="293" t="s">
        <v>549</v>
      </c>
      <c r="B324" s="155" t="s">
        <v>548</v>
      </c>
      <c r="C324" s="126">
        <v>500000</v>
      </c>
      <c r="D324" s="126">
        <v>500000</v>
      </c>
      <c r="E324" s="130"/>
      <c r="F324" s="130"/>
      <c r="G324" s="126"/>
      <c r="H324" s="126"/>
      <c r="I324" s="126"/>
      <c r="J324" s="6">
        <v>96181.7</v>
      </c>
    </row>
    <row r="325" spans="1:10" ht="30" customHeight="1" x14ac:dyDescent="0.2">
      <c r="A325" s="293" t="s">
        <v>547</v>
      </c>
      <c r="B325" s="155" t="s">
        <v>541</v>
      </c>
      <c r="C325" s="126">
        <v>500000</v>
      </c>
      <c r="D325" s="126">
        <f>500000-15000</f>
        <v>485000</v>
      </c>
      <c r="E325" s="130"/>
      <c r="F325" s="130"/>
      <c r="G325" s="126"/>
      <c r="H325" s="126"/>
      <c r="I325" s="126"/>
      <c r="J325" s="6">
        <v>80769</v>
      </c>
    </row>
    <row r="326" spans="1:10" s="2" customFormat="1" ht="30" customHeight="1" x14ac:dyDescent="0.2">
      <c r="A326" s="293" t="s">
        <v>547</v>
      </c>
      <c r="B326" s="166" t="s">
        <v>546</v>
      </c>
      <c r="C326" s="126">
        <v>300000</v>
      </c>
      <c r="D326" s="126">
        <v>300000</v>
      </c>
      <c r="E326" s="126"/>
      <c r="F326" s="126"/>
      <c r="G326" s="126"/>
      <c r="H326" s="126"/>
      <c r="I326" s="126"/>
      <c r="J326" s="6">
        <v>0</v>
      </c>
    </row>
    <row r="327" spans="1:10" ht="30" customHeight="1" x14ac:dyDescent="0.2">
      <c r="A327" s="123">
        <v>2333</v>
      </c>
      <c r="B327" s="123" t="s">
        <v>545</v>
      </c>
      <c r="C327" s="122">
        <f>SUM(C328:C329)</f>
        <v>250000</v>
      </c>
      <c r="D327" s="122">
        <f>SUM(D328:D329)</f>
        <v>250000</v>
      </c>
      <c r="E327" s="136"/>
      <c r="F327" s="133"/>
      <c r="G327" s="120"/>
      <c r="H327" s="120"/>
      <c r="I327" s="120"/>
      <c r="J327" s="6">
        <v>0</v>
      </c>
    </row>
    <row r="328" spans="1:10" ht="30" customHeight="1" x14ac:dyDescent="0.2">
      <c r="A328" s="293" t="s">
        <v>544</v>
      </c>
      <c r="B328" s="155" t="s">
        <v>1046</v>
      </c>
      <c r="C328" s="126">
        <v>100000</v>
      </c>
      <c r="D328" s="126">
        <v>100000</v>
      </c>
      <c r="E328" s="130"/>
      <c r="F328" s="130"/>
      <c r="G328" s="126"/>
      <c r="H328" s="126"/>
      <c r="I328" s="126"/>
      <c r="J328" s="14">
        <v>0</v>
      </c>
    </row>
    <row r="329" spans="1:10" ht="30" customHeight="1" thickBot="1" x14ac:dyDescent="0.25">
      <c r="A329" s="293" t="s">
        <v>542</v>
      </c>
      <c r="B329" s="155" t="s">
        <v>541</v>
      </c>
      <c r="C329" s="126">
        <v>150000</v>
      </c>
      <c r="D329" s="126">
        <v>150000</v>
      </c>
      <c r="E329" s="152"/>
      <c r="F329" s="152"/>
      <c r="G329" s="126"/>
      <c r="H329" s="151"/>
      <c r="I329" s="151"/>
      <c r="J329" s="14">
        <v>0</v>
      </c>
    </row>
    <row r="330" spans="1:10" s="3" customFormat="1" ht="30" customHeight="1" thickBot="1" x14ac:dyDescent="0.3">
      <c r="A330" s="158"/>
      <c r="B330" s="158" t="s">
        <v>540</v>
      </c>
      <c r="C330" s="312">
        <f>SUM(C331+C342+C347)</f>
        <v>27050000</v>
      </c>
      <c r="D330" s="312">
        <f>SUM(D331+D342+D347)</f>
        <v>32279572.620000001</v>
      </c>
      <c r="E330" s="312"/>
      <c r="F330" s="705"/>
      <c r="G330" s="479"/>
      <c r="H330" s="479"/>
      <c r="I330" s="479"/>
      <c r="J330" s="14">
        <v>10351231.619999999</v>
      </c>
    </row>
    <row r="331" spans="1:10" s="3" customFormat="1" ht="30" customHeight="1" x14ac:dyDescent="0.2">
      <c r="A331" s="118">
        <v>2212</v>
      </c>
      <c r="B331" s="311" t="s">
        <v>539</v>
      </c>
      <c r="C331" s="217">
        <f>SUM(C332,C338:C341)</f>
        <v>26600000</v>
      </c>
      <c r="D331" s="217">
        <f>SUM(D332,D338:D341)</f>
        <v>29240445.920000002</v>
      </c>
      <c r="E331" s="591"/>
      <c r="F331" s="46"/>
      <c r="G331" s="120"/>
      <c r="H331" s="486"/>
      <c r="I331" s="121"/>
      <c r="J331" s="6">
        <v>10275335.67</v>
      </c>
    </row>
    <row r="332" spans="1:10" s="2" customFormat="1" ht="30" customHeight="1" x14ac:dyDescent="0.2">
      <c r="A332" s="131"/>
      <c r="B332" s="310" t="s">
        <v>538</v>
      </c>
      <c r="C332" s="127">
        <f>SUM(C333:C337)</f>
        <v>2400000</v>
      </c>
      <c r="D332" s="127">
        <f>SUM(D333:D337)</f>
        <v>4959182.92</v>
      </c>
      <c r="E332" s="130"/>
      <c r="F332" s="130"/>
      <c r="G332" s="126"/>
      <c r="H332" s="130"/>
      <c r="I332" s="130"/>
      <c r="J332" s="14">
        <v>0</v>
      </c>
    </row>
    <row r="333" spans="1:10" s="3" customFormat="1" ht="30" customHeight="1" x14ac:dyDescent="0.2">
      <c r="A333" s="293" t="s">
        <v>536</v>
      </c>
      <c r="B333" s="309" t="s">
        <v>537</v>
      </c>
      <c r="C333" s="126">
        <v>2200000</v>
      </c>
      <c r="D333" s="126">
        <f>2200000-2200000</f>
        <v>0</v>
      </c>
      <c r="E333" s="126"/>
      <c r="F333" s="126"/>
      <c r="G333" s="126"/>
      <c r="H333" s="126"/>
      <c r="I333" s="126"/>
      <c r="J333" s="14">
        <v>0</v>
      </c>
    </row>
    <row r="334" spans="1:10" s="3" customFormat="1" ht="30" customHeight="1" x14ac:dyDescent="0.2">
      <c r="A334" s="293" t="s">
        <v>536</v>
      </c>
      <c r="B334" s="309" t="s">
        <v>535</v>
      </c>
      <c r="C334" s="126">
        <v>200000</v>
      </c>
      <c r="D334" s="126">
        <f>200000-200000</f>
        <v>0</v>
      </c>
      <c r="E334" s="297"/>
      <c r="F334" s="130"/>
      <c r="G334" s="126"/>
      <c r="H334" s="126"/>
      <c r="I334" s="126"/>
      <c r="J334" s="14">
        <v>0</v>
      </c>
    </row>
    <row r="335" spans="1:10" s="3" customFormat="1" ht="30" customHeight="1" x14ac:dyDescent="0.2">
      <c r="A335" s="293" t="s">
        <v>536</v>
      </c>
      <c r="B335" s="309" t="s">
        <v>988</v>
      </c>
      <c r="C335" s="126">
        <v>0</v>
      </c>
      <c r="D335" s="126">
        <f>1000000</f>
        <v>1000000</v>
      </c>
      <c r="E335" s="297"/>
      <c r="F335" s="130"/>
      <c r="G335" s="126"/>
      <c r="H335" s="126"/>
      <c r="I335" s="126"/>
      <c r="J335" s="14">
        <v>0</v>
      </c>
    </row>
    <row r="336" spans="1:10" s="3" customFormat="1" ht="30" customHeight="1" x14ac:dyDescent="0.2">
      <c r="A336" s="293" t="s">
        <v>1013</v>
      </c>
      <c r="B336" s="309" t="s">
        <v>1014</v>
      </c>
      <c r="C336" s="126">
        <v>0</v>
      </c>
      <c r="D336" s="126">
        <v>53240</v>
      </c>
      <c r="E336" s="297"/>
      <c r="F336" s="130"/>
      <c r="G336" s="126"/>
      <c r="H336" s="126"/>
      <c r="I336" s="126"/>
      <c r="J336" s="14">
        <v>0</v>
      </c>
    </row>
    <row r="337" spans="1:10" s="3" customFormat="1" ht="30" customHeight="1" x14ac:dyDescent="0.2">
      <c r="A337" s="293" t="s">
        <v>1013</v>
      </c>
      <c r="B337" s="309" t="s">
        <v>1026</v>
      </c>
      <c r="C337" s="126">
        <v>0</v>
      </c>
      <c r="D337" s="126">
        <v>3905942.92</v>
      </c>
      <c r="E337" s="297"/>
      <c r="F337" s="130"/>
      <c r="G337" s="126"/>
      <c r="H337" s="126"/>
      <c r="I337" s="126"/>
      <c r="J337" s="14">
        <v>0</v>
      </c>
    </row>
    <row r="338" spans="1:10" s="3" customFormat="1" ht="30" customHeight="1" x14ac:dyDescent="0.2">
      <c r="A338" s="293" t="s">
        <v>533</v>
      </c>
      <c r="B338" s="237" t="s">
        <v>534</v>
      </c>
      <c r="C338" s="126">
        <v>3500000</v>
      </c>
      <c r="D338" s="126">
        <f>3500000+42500-200000</f>
        <v>3342500</v>
      </c>
      <c r="E338" s="297"/>
      <c r="F338" s="130"/>
      <c r="G338" s="126"/>
      <c r="H338" s="126"/>
      <c r="I338" s="126"/>
      <c r="J338" s="14">
        <v>1350000</v>
      </c>
    </row>
    <row r="339" spans="1:10" s="3" customFormat="1" ht="30" customHeight="1" x14ac:dyDescent="0.2">
      <c r="A339" s="293" t="s">
        <v>533</v>
      </c>
      <c r="B339" s="237" t="s">
        <v>532</v>
      </c>
      <c r="C339" s="126">
        <v>18200000</v>
      </c>
      <c r="D339" s="126">
        <f>18200000+87350+200000</f>
        <v>18487350</v>
      </c>
      <c r="E339" s="297"/>
      <c r="F339" s="130"/>
      <c r="G339" s="126"/>
      <c r="H339" s="126"/>
      <c r="I339" s="126"/>
      <c r="J339" s="14">
        <v>8808000</v>
      </c>
    </row>
    <row r="340" spans="1:10" s="3" customFormat="1" ht="30" customHeight="1" x14ac:dyDescent="0.2">
      <c r="A340" s="293" t="s">
        <v>463</v>
      </c>
      <c r="B340" s="237" t="s">
        <v>531</v>
      </c>
      <c r="C340" s="126">
        <v>500000</v>
      </c>
      <c r="D340" s="126">
        <f>500000+2640+2013+127050+100000</f>
        <v>731703</v>
      </c>
      <c r="E340" s="196"/>
      <c r="F340" s="127"/>
      <c r="G340" s="126"/>
      <c r="H340" s="126"/>
      <c r="I340" s="126"/>
      <c r="J340" s="14">
        <v>21876.67</v>
      </c>
    </row>
    <row r="341" spans="1:10" s="3" customFormat="1" ht="30" customHeight="1" x14ac:dyDescent="0.2">
      <c r="A341" s="293" t="s">
        <v>857</v>
      </c>
      <c r="B341" s="237" t="s">
        <v>858</v>
      </c>
      <c r="C341" s="126">
        <f>500000+1500000</f>
        <v>2000000</v>
      </c>
      <c r="D341" s="126">
        <f>500000+1500000-53240-127050-100000</f>
        <v>1719710</v>
      </c>
      <c r="E341" s="485"/>
      <c r="F341" s="127"/>
      <c r="G341" s="126"/>
      <c r="H341" s="126"/>
      <c r="I341" s="126"/>
      <c r="J341" s="14">
        <v>95459</v>
      </c>
    </row>
    <row r="342" spans="1:10" s="3" customFormat="1" ht="30" customHeight="1" x14ac:dyDescent="0.2">
      <c r="A342" s="123">
        <v>2219</v>
      </c>
      <c r="B342" s="123" t="s">
        <v>530</v>
      </c>
      <c r="C342" s="122">
        <f>SUM(C343:C346)</f>
        <v>300000</v>
      </c>
      <c r="D342" s="122">
        <f>SUM(D343:D346)</f>
        <v>2889126.7</v>
      </c>
      <c r="E342" s="121"/>
      <c r="F342" s="130"/>
      <c r="G342" s="120"/>
      <c r="H342" s="120"/>
      <c r="I342" s="120"/>
      <c r="J342" s="14">
        <v>63391.81</v>
      </c>
    </row>
    <row r="343" spans="1:10" s="3" customFormat="1" ht="30" customHeight="1" x14ac:dyDescent="0.2">
      <c r="A343" s="293" t="s">
        <v>536</v>
      </c>
      <c r="B343" s="309" t="s">
        <v>1008</v>
      </c>
      <c r="C343" s="126">
        <v>0</v>
      </c>
      <c r="D343" s="126">
        <f>2200000-766001.8+(766001.8-695005.27)-70996.53</f>
        <v>1433998.2</v>
      </c>
      <c r="E343" s="126"/>
      <c r="F343" s="126"/>
      <c r="G343" s="126"/>
      <c r="H343" s="126"/>
      <c r="I343" s="126"/>
      <c r="J343" s="14">
        <v>0</v>
      </c>
    </row>
    <row r="344" spans="1:10" s="3" customFormat="1" ht="30" customHeight="1" x14ac:dyDescent="0.2">
      <c r="A344" s="293" t="s">
        <v>434</v>
      </c>
      <c r="B344" s="237" t="s">
        <v>529</v>
      </c>
      <c r="C344" s="126">
        <v>100000</v>
      </c>
      <c r="D344" s="126">
        <v>100000</v>
      </c>
      <c r="E344" s="130"/>
      <c r="F344" s="130"/>
      <c r="G344" s="126"/>
      <c r="H344" s="126"/>
      <c r="I344" s="126"/>
      <c r="J344" s="14">
        <v>0</v>
      </c>
    </row>
    <row r="345" spans="1:10" s="3" customFormat="1" ht="30" customHeight="1" x14ac:dyDescent="0.2">
      <c r="A345" s="293" t="s">
        <v>433</v>
      </c>
      <c r="B345" s="237" t="s">
        <v>528</v>
      </c>
      <c r="C345" s="126">
        <v>200000</v>
      </c>
      <c r="D345" s="126">
        <v>200000</v>
      </c>
      <c r="E345" s="130"/>
      <c r="F345" s="130"/>
      <c r="G345" s="126"/>
      <c r="H345" s="126"/>
      <c r="I345" s="126"/>
      <c r="J345" s="14">
        <v>102651.01</v>
      </c>
    </row>
    <row r="346" spans="1:10" s="3" customFormat="1" ht="30" customHeight="1" x14ac:dyDescent="0.2">
      <c r="A346" s="293" t="s">
        <v>912</v>
      </c>
      <c r="B346" s="237" t="s">
        <v>913</v>
      </c>
      <c r="C346" s="126">
        <v>0</v>
      </c>
      <c r="D346" s="126">
        <v>1155128.5</v>
      </c>
      <c r="E346" s="130"/>
      <c r="F346" s="130"/>
      <c r="G346" s="126"/>
      <c r="H346" s="126"/>
      <c r="I346" s="126"/>
      <c r="J346" s="14">
        <v>2700</v>
      </c>
    </row>
    <row r="347" spans="1:10" ht="30" customHeight="1" x14ac:dyDescent="0.2">
      <c r="A347" s="123">
        <v>2221</v>
      </c>
      <c r="B347" s="180" t="s">
        <v>527</v>
      </c>
      <c r="C347" s="136">
        <f>SUM(C348:C349)</f>
        <v>150000</v>
      </c>
      <c r="D347" s="136">
        <f>SUM(D348:D349)</f>
        <v>150000</v>
      </c>
      <c r="E347" s="486"/>
      <c r="F347" s="151"/>
      <c r="G347" s="120"/>
      <c r="H347" s="120"/>
      <c r="I347" s="120"/>
      <c r="J347" s="14">
        <v>12504.14</v>
      </c>
    </row>
    <row r="348" spans="1:10" ht="30" customHeight="1" x14ac:dyDescent="0.2">
      <c r="A348" s="288" t="s">
        <v>526</v>
      </c>
      <c r="B348" s="307" t="s">
        <v>525</v>
      </c>
      <c r="C348" s="126">
        <v>60000</v>
      </c>
      <c r="D348" s="126">
        <v>60000</v>
      </c>
      <c r="E348" s="297"/>
      <c r="F348" s="130"/>
      <c r="G348" s="126"/>
      <c r="H348" s="126"/>
      <c r="I348" s="130"/>
      <c r="J348" s="14">
        <v>0</v>
      </c>
    </row>
    <row r="349" spans="1:10" ht="30" customHeight="1" thickBot="1" x14ac:dyDescent="0.25">
      <c r="A349" s="306" t="s">
        <v>524</v>
      </c>
      <c r="B349" s="305" t="s">
        <v>523</v>
      </c>
      <c r="C349" s="126">
        <v>90000</v>
      </c>
      <c r="D349" s="126">
        <v>90000</v>
      </c>
      <c r="E349" s="302"/>
      <c r="F349" s="117"/>
      <c r="G349" s="126"/>
      <c r="H349" s="151"/>
      <c r="I349" s="117"/>
      <c r="J349" s="14">
        <v>12504.14</v>
      </c>
    </row>
    <row r="350" spans="1:10" ht="30" customHeight="1" thickBot="1" x14ac:dyDescent="0.3">
      <c r="A350" s="158"/>
      <c r="B350" s="158" t="s">
        <v>522</v>
      </c>
      <c r="C350" s="157">
        <f>C351</f>
        <v>2334000</v>
      </c>
      <c r="D350" s="157">
        <f>D351</f>
        <v>2334000</v>
      </c>
      <c r="E350" s="312"/>
      <c r="F350" s="712"/>
      <c r="G350" s="479"/>
      <c r="H350" s="479"/>
      <c r="I350" s="479"/>
      <c r="J350" s="14">
        <v>149645.1</v>
      </c>
    </row>
    <row r="351" spans="1:10" ht="30" customHeight="1" x14ac:dyDescent="0.2">
      <c r="A351" s="224">
        <v>3639</v>
      </c>
      <c r="B351" s="224" t="s">
        <v>521</v>
      </c>
      <c r="C351" s="217">
        <f>SUM(C352:C355)</f>
        <v>2334000</v>
      </c>
      <c r="D351" s="217">
        <f>SUM(D352:D355)</f>
        <v>2334000</v>
      </c>
      <c r="E351" s="539"/>
      <c r="F351" s="484"/>
      <c r="G351" s="120"/>
      <c r="H351" s="486"/>
      <c r="I351" s="486"/>
      <c r="J351" s="14">
        <v>149645.1</v>
      </c>
    </row>
    <row r="352" spans="1:10" ht="30" customHeight="1" x14ac:dyDescent="0.2">
      <c r="A352" s="288" t="s">
        <v>520</v>
      </c>
      <c r="B352" s="304" t="s">
        <v>519</v>
      </c>
      <c r="C352" s="303">
        <v>1600000</v>
      </c>
      <c r="D352" s="303">
        <v>1600000</v>
      </c>
      <c r="E352" s="130"/>
      <c r="F352" s="130"/>
      <c r="G352" s="126"/>
      <c r="H352" s="130"/>
      <c r="I352" s="130"/>
      <c r="J352" s="14">
        <v>0</v>
      </c>
    </row>
    <row r="353" spans="1:10" ht="30" customHeight="1" x14ac:dyDescent="0.2">
      <c r="A353" s="288" t="s">
        <v>517</v>
      </c>
      <c r="B353" s="155" t="s">
        <v>518</v>
      </c>
      <c r="C353" s="126">
        <v>150000</v>
      </c>
      <c r="D353" s="126">
        <v>150000</v>
      </c>
      <c r="E353" s="126"/>
      <c r="F353" s="126"/>
      <c r="G353" s="126"/>
      <c r="H353" s="126"/>
      <c r="I353" s="126"/>
      <c r="J353" s="14">
        <v>1996.5</v>
      </c>
    </row>
    <row r="354" spans="1:10" ht="30" customHeight="1" x14ac:dyDescent="0.2">
      <c r="A354" s="287" t="s">
        <v>517</v>
      </c>
      <c r="B354" s="154" t="s">
        <v>516</v>
      </c>
      <c r="C354" s="126">
        <v>50000</v>
      </c>
      <c r="D354" s="126">
        <v>50000</v>
      </c>
      <c r="E354" s="130"/>
      <c r="F354" s="130"/>
      <c r="G354" s="126"/>
      <c r="H354" s="126"/>
      <c r="I354" s="126"/>
      <c r="J354" s="14">
        <v>0</v>
      </c>
    </row>
    <row r="355" spans="1:10" ht="30" customHeight="1" thickBot="1" x14ac:dyDescent="0.25">
      <c r="A355" s="301" t="s">
        <v>860</v>
      </c>
      <c r="B355" s="155" t="s">
        <v>859</v>
      </c>
      <c r="C355" s="126">
        <f>50000+10000+4000+50000+110000+250000+20000+40000</f>
        <v>534000</v>
      </c>
      <c r="D355" s="126">
        <f>50000+10000+4000+50000+110000+250000+20000+40000</f>
        <v>534000</v>
      </c>
      <c r="E355" s="130"/>
      <c r="F355" s="130"/>
      <c r="G355" s="126"/>
      <c r="H355" s="126"/>
      <c r="I355" s="126"/>
      <c r="J355" s="14">
        <v>147648.6</v>
      </c>
    </row>
    <row r="356" spans="1:10" ht="30" customHeight="1" thickBot="1" x14ac:dyDescent="0.3">
      <c r="A356" s="158"/>
      <c r="B356" s="158" t="s">
        <v>515</v>
      </c>
      <c r="C356" s="300">
        <f>SUM(C357,C359,C362,C367,C371,C376,C380)</f>
        <v>15688788.33</v>
      </c>
      <c r="D356" s="300">
        <f>SUM(D357,D359,D362,D367,D371,D376,D380)</f>
        <v>14993048.33</v>
      </c>
      <c r="E356" s="387"/>
      <c r="F356" s="706"/>
      <c r="G356" s="479"/>
      <c r="H356" s="479"/>
      <c r="I356" s="479"/>
      <c r="J356" s="14">
        <v>5990704.8099999996</v>
      </c>
    </row>
    <row r="357" spans="1:10" ht="30" customHeight="1" x14ac:dyDescent="0.2">
      <c r="A357" s="224">
        <v>3341</v>
      </c>
      <c r="B357" s="224" t="s">
        <v>514</v>
      </c>
      <c r="C357" s="217">
        <f>SUM(C358:C358)</f>
        <v>150000</v>
      </c>
      <c r="D357" s="217">
        <f>SUM(D358:D358)</f>
        <v>175000</v>
      </c>
      <c r="E357" s="187"/>
      <c r="F357" s="716"/>
      <c r="G357" s="120"/>
      <c r="H357" s="120"/>
      <c r="I357" s="120"/>
      <c r="J357" s="296">
        <v>9888.7000000000007</v>
      </c>
    </row>
    <row r="358" spans="1:10" ht="30" customHeight="1" x14ac:dyDescent="0.2">
      <c r="A358" s="288" t="s">
        <v>861</v>
      </c>
      <c r="B358" s="131" t="s">
        <v>862</v>
      </c>
      <c r="C358" s="126">
        <f>145000+5000</f>
        <v>150000</v>
      </c>
      <c r="D358" s="126">
        <f>145000+5000+25000</f>
        <v>175000</v>
      </c>
      <c r="E358" s="294"/>
      <c r="F358" s="294"/>
      <c r="G358" s="126"/>
      <c r="H358" s="126"/>
      <c r="I358" s="126"/>
      <c r="J358" s="201">
        <v>9888.7000000000007</v>
      </c>
    </row>
    <row r="359" spans="1:10" ht="30" customHeight="1" x14ac:dyDescent="0.2">
      <c r="A359" s="137">
        <v>3421</v>
      </c>
      <c r="B359" s="123" t="s">
        <v>513</v>
      </c>
      <c r="C359" s="122">
        <f>SUM(C360:C361)</f>
        <v>1880000</v>
      </c>
      <c r="D359" s="122">
        <f>SUM(D360:D361)</f>
        <v>1580459</v>
      </c>
      <c r="E359" s="540"/>
      <c r="F359" s="487"/>
      <c r="G359" s="120"/>
      <c r="H359" s="120"/>
      <c r="I359" s="120"/>
      <c r="J359" s="14">
        <v>84244.2</v>
      </c>
    </row>
    <row r="360" spans="1:10" ht="30" customHeight="1" x14ac:dyDescent="0.2">
      <c r="A360" s="288" t="s">
        <v>864</v>
      </c>
      <c r="B360" s="299" t="s">
        <v>863</v>
      </c>
      <c r="C360" s="133">
        <f>1000000+110000+120000+300000</f>
        <v>1530000</v>
      </c>
      <c r="D360" s="133">
        <f>1000000+110000+120000+300000-299541</f>
        <v>1230459</v>
      </c>
      <c r="E360" s="127"/>
      <c r="F360" s="289"/>
      <c r="G360" s="126"/>
      <c r="H360" s="126"/>
      <c r="I360" s="126"/>
      <c r="J360" s="14">
        <v>0</v>
      </c>
    </row>
    <row r="361" spans="1:10" ht="30" customHeight="1" x14ac:dyDescent="0.2">
      <c r="A361" s="288" t="s">
        <v>512</v>
      </c>
      <c r="B361" s="298" t="s">
        <v>511</v>
      </c>
      <c r="C361" s="126">
        <v>350000</v>
      </c>
      <c r="D361" s="126">
        <v>350000</v>
      </c>
      <c r="E361" s="292"/>
      <c r="F361" s="292"/>
      <c r="G361" s="126"/>
      <c r="H361" s="126"/>
      <c r="I361" s="126"/>
      <c r="J361" s="14">
        <v>84244.2</v>
      </c>
    </row>
    <row r="362" spans="1:10" ht="30" customHeight="1" x14ac:dyDescent="0.2">
      <c r="A362" s="123">
        <v>3613</v>
      </c>
      <c r="B362" s="123" t="s">
        <v>510</v>
      </c>
      <c r="C362" s="122">
        <f>SUM(C363:C366)</f>
        <v>995000</v>
      </c>
      <c r="D362" s="122">
        <f>SUM(D363:D366)</f>
        <v>1294541</v>
      </c>
      <c r="E362" s="361"/>
      <c r="F362" s="292"/>
      <c r="G362" s="120"/>
      <c r="H362" s="120"/>
      <c r="I362" s="120"/>
      <c r="J362" s="14">
        <v>300164.75</v>
      </c>
    </row>
    <row r="363" spans="1:10" ht="30" customHeight="1" x14ac:dyDescent="0.2">
      <c r="A363" s="290" t="s">
        <v>1005</v>
      </c>
      <c r="B363" s="291" t="s">
        <v>1006</v>
      </c>
      <c r="C363" s="126">
        <v>0</v>
      </c>
      <c r="D363" s="126">
        <v>299541</v>
      </c>
      <c r="E363" s="292"/>
      <c r="F363" s="292"/>
      <c r="G363" s="126"/>
      <c r="H363" s="126"/>
      <c r="I363" s="126"/>
      <c r="J363" s="14">
        <v>116804.31</v>
      </c>
    </row>
    <row r="364" spans="1:10" ht="30" customHeight="1" x14ac:dyDescent="0.2">
      <c r="A364" s="290" t="s">
        <v>865</v>
      </c>
      <c r="B364" s="291" t="s">
        <v>1007</v>
      </c>
      <c r="C364" s="126">
        <f>5000+5000+250000+60000+300000</f>
        <v>620000</v>
      </c>
      <c r="D364" s="126">
        <f>5000+5000+250000+60000+300000-100000</f>
        <v>520000</v>
      </c>
      <c r="E364" s="292"/>
      <c r="F364" s="292"/>
      <c r="G364" s="126"/>
      <c r="H364" s="126"/>
      <c r="I364" s="126"/>
      <c r="J364" s="14">
        <v>116804.31</v>
      </c>
    </row>
    <row r="365" spans="1:10" ht="30" customHeight="1" x14ac:dyDescent="0.2">
      <c r="A365" s="290" t="s">
        <v>509</v>
      </c>
      <c r="B365" s="155" t="s">
        <v>508</v>
      </c>
      <c r="C365" s="126">
        <v>175000</v>
      </c>
      <c r="D365" s="126">
        <f>175000</f>
        <v>175000</v>
      </c>
      <c r="E365" s="289"/>
      <c r="F365" s="289"/>
      <c r="G365" s="126"/>
      <c r="H365" s="126"/>
      <c r="I365" s="126"/>
      <c r="J365" s="14">
        <v>33982.589999999997</v>
      </c>
    </row>
    <row r="366" spans="1:10" ht="30" customHeight="1" x14ac:dyDescent="0.2">
      <c r="A366" s="290" t="s">
        <v>507</v>
      </c>
      <c r="B366" s="155" t="s">
        <v>506</v>
      </c>
      <c r="C366" s="126">
        <v>200000</v>
      </c>
      <c r="D366" s="126">
        <f>200000+100000</f>
        <v>300000</v>
      </c>
      <c r="E366" s="289"/>
      <c r="F366" s="289"/>
      <c r="G366" s="126"/>
      <c r="H366" s="126"/>
      <c r="I366" s="126"/>
      <c r="J366" s="14">
        <v>149377.85</v>
      </c>
    </row>
    <row r="367" spans="1:10" ht="30" customHeight="1" x14ac:dyDescent="0.2">
      <c r="A367" s="123">
        <v>3631</v>
      </c>
      <c r="B367" s="123" t="s">
        <v>505</v>
      </c>
      <c r="C367" s="122">
        <f>SUM(C368:C370)</f>
        <v>9200000</v>
      </c>
      <c r="D367" s="122">
        <f>SUM(D368:D370)</f>
        <v>9073550</v>
      </c>
      <c r="E367" s="18"/>
      <c r="F367" s="233"/>
      <c r="G367" s="120"/>
      <c r="H367" s="121"/>
      <c r="I367" s="121"/>
      <c r="J367" s="14">
        <v>4383548.83</v>
      </c>
    </row>
    <row r="368" spans="1:10" ht="30" customHeight="1" x14ac:dyDescent="0.2">
      <c r="A368" s="290" t="s">
        <v>867</v>
      </c>
      <c r="B368" s="155" t="s">
        <v>868</v>
      </c>
      <c r="C368" s="126">
        <f>600000+100000</f>
        <v>700000</v>
      </c>
      <c r="D368" s="126">
        <f>600000+100000</f>
        <v>700000</v>
      </c>
      <c r="E368" s="10"/>
      <c r="F368" s="233"/>
      <c r="G368" s="126"/>
      <c r="H368" s="130"/>
      <c r="I368" s="130"/>
      <c r="J368" s="14">
        <v>16456</v>
      </c>
    </row>
    <row r="369" spans="1:10" ht="30" customHeight="1" x14ac:dyDescent="0.2">
      <c r="A369" s="288" t="s">
        <v>504</v>
      </c>
      <c r="B369" s="155" t="s">
        <v>503</v>
      </c>
      <c r="C369" s="126">
        <v>4000000</v>
      </c>
      <c r="D369" s="126">
        <f>4000000+23550-150000</f>
        <v>3873550</v>
      </c>
      <c r="E369" s="233"/>
      <c r="F369" s="233"/>
      <c r="G369" s="126"/>
      <c r="H369" s="126"/>
      <c r="I369" s="126"/>
      <c r="J369" s="14">
        <v>1980000</v>
      </c>
    </row>
    <row r="370" spans="1:10" ht="30" customHeight="1" x14ac:dyDescent="0.2">
      <c r="A370" s="288" t="s">
        <v>502</v>
      </c>
      <c r="B370" s="155" t="s">
        <v>501</v>
      </c>
      <c r="C370" s="126">
        <v>4500000</v>
      </c>
      <c r="D370" s="126">
        <v>4500000</v>
      </c>
      <c r="E370" s="233"/>
      <c r="F370" s="233"/>
      <c r="G370" s="126"/>
      <c r="H370" s="126"/>
      <c r="I370" s="126"/>
      <c r="J370" s="14">
        <v>2387092.83</v>
      </c>
    </row>
    <row r="371" spans="1:10" ht="30" customHeight="1" x14ac:dyDescent="0.2">
      <c r="A371" s="229">
        <v>3632</v>
      </c>
      <c r="B371" s="229" t="s">
        <v>500</v>
      </c>
      <c r="C371" s="122">
        <f>SUM(C372,C374:C375)</f>
        <v>3250000</v>
      </c>
      <c r="D371" s="122">
        <f>SUM(D372,D374:D375)</f>
        <v>2466950</v>
      </c>
      <c r="E371" s="238"/>
      <c r="F371" s="233"/>
      <c r="G371" s="120"/>
      <c r="H371" s="120"/>
      <c r="I371" s="120"/>
      <c r="J371" s="14">
        <v>1204070</v>
      </c>
    </row>
    <row r="372" spans="1:10" ht="30" customHeight="1" x14ac:dyDescent="0.2">
      <c r="A372" s="131"/>
      <c r="B372" s="131" t="s">
        <v>499</v>
      </c>
      <c r="C372" s="127">
        <f>SUM(C373:C373)</f>
        <v>650000</v>
      </c>
      <c r="D372" s="127">
        <f>SUM(D373:D373)</f>
        <v>68400</v>
      </c>
      <c r="E372" s="233"/>
      <c r="F372" s="233"/>
      <c r="G372" s="126"/>
      <c r="H372" s="126"/>
      <c r="I372" s="126"/>
      <c r="J372" s="14">
        <v>202070</v>
      </c>
    </row>
    <row r="373" spans="1:10" ht="30" customHeight="1" x14ac:dyDescent="0.2">
      <c r="A373" s="288" t="s">
        <v>498</v>
      </c>
      <c r="B373" s="155" t="s">
        <v>497</v>
      </c>
      <c r="C373" s="126">
        <v>650000</v>
      </c>
      <c r="D373" s="126">
        <f>650000+87530-669130</f>
        <v>68400</v>
      </c>
      <c r="E373" s="10"/>
      <c r="F373" s="10"/>
      <c r="G373" s="126"/>
      <c r="H373" s="126"/>
      <c r="I373" s="126"/>
      <c r="J373" s="14">
        <v>0</v>
      </c>
    </row>
    <row r="374" spans="1:10" ht="30" customHeight="1" x14ac:dyDescent="0.2">
      <c r="A374" s="293" t="s">
        <v>496</v>
      </c>
      <c r="B374" s="155" t="s">
        <v>495</v>
      </c>
      <c r="C374" s="126">
        <v>2500000</v>
      </c>
      <c r="D374" s="126">
        <f>2500000+23550-100000-100000</f>
        <v>2323550</v>
      </c>
      <c r="E374" s="10"/>
      <c r="F374" s="10"/>
      <c r="G374" s="126"/>
      <c r="H374" s="126"/>
      <c r="I374" s="126"/>
      <c r="J374" s="14">
        <v>1002000</v>
      </c>
    </row>
    <row r="375" spans="1:10" s="3" customFormat="1" ht="30" customHeight="1" x14ac:dyDescent="0.2">
      <c r="A375" s="293" t="s">
        <v>494</v>
      </c>
      <c r="B375" s="155" t="s">
        <v>493</v>
      </c>
      <c r="C375" s="126">
        <v>100000</v>
      </c>
      <c r="D375" s="126">
        <f>100000-25000</f>
        <v>75000</v>
      </c>
      <c r="E375" s="285"/>
      <c r="F375" s="11"/>
      <c r="G375" s="126"/>
      <c r="H375" s="151"/>
      <c r="I375" s="151"/>
      <c r="J375" s="14">
        <v>0</v>
      </c>
    </row>
    <row r="376" spans="1:10" s="3" customFormat="1" ht="30" customHeight="1" x14ac:dyDescent="0.2">
      <c r="A376" s="123">
        <v>3639</v>
      </c>
      <c r="B376" s="123" t="s">
        <v>492</v>
      </c>
      <c r="C376" s="122">
        <f>SUM(C377:C379)</f>
        <v>13788.33</v>
      </c>
      <c r="D376" s="122">
        <f>SUM(D377:D379)</f>
        <v>202548.33</v>
      </c>
      <c r="E376" s="18"/>
      <c r="F376" s="10"/>
      <c r="G376" s="120"/>
      <c r="H376" s="121"/>
      <c r="I376" s="121"/>
      <c r="J376" s="14">
        <v>8788.33</v>
      </c>
    </row>
    <row r="377" spans="1:10" s="3" customFormat="1" ht="30" customHeight="1" x14ac:dyDescent="0.2">
      <c r="A377" s="288" t="s">
        <v>491</v>
      </c>
      <c r="B377" s="291" t="s">
        <v>991</v>
      </c>
      <c r="C377" s="127">
        <v>8788.33</v>
      </c>
      <c r="D377" s="127">
        <f>8788.33+281.23</f>
        <v>9069.56</v>
      </c>
      <c r="E377" s="488"/>
      <c r="F377" s="9"/>
      <c r="G377" s="126"/>
      <c r="H377" s="126"/>
      <c r="I377" s="130"/>
      <c r="J377" s="14">
        <v>8788.33</v>
      </c>
    </row>
    <row r="378" spans="1:10" s="3" customFormat="1" ht="30" customHeight="1" x14ac:dyDescent="0.2">
      <c r="A378" s="293" t="s">
        <v>990</v>
      </c>
      <c r="B378" s="309" t="s">
        <v>992</v>
      </c>
      <c r="C378" s="126">
        <v>0</v>
      </c>
      <c r="D378" s="126">
        <f>200000-11240</f>
        <v>188760</v>
      </c>
      <c r="E378" s="297"/>
      <c r="F378" s="130"/>
      <c r="G378" s="126"/>
      <c r="H378" s="126"/>
      <c r="I378" s="126"/>
      <c r="J378" s="14">
        <v>0</v>
      </c>
    </row>
    <row r="379" spans="1:10" s="3" customFormat="1" ht="30" customHeight="1" x14ac:dyDescent="0.2">
      <c r="A379" s="290" t="s">
        <v>489</v>
      </c>
      <c r="B379" s="155" t="s">
        <v>488</v>
      </c>
      <c r="C379" s="126">
        <v>5000</v>
      </c>
      <c r="D379" s="126">
        <f>5000-281.23</f>
        <v>4718.7700000000004</v>
      </c>
      <c r="E379" s="233"/>
      <c r="F379" s="10"/>
      <c r="G379" s="126"/>
      <c r="H379" s="126"/>
      <c r="I379" s="130"/>
      <c r="J379" s="14">
        <v>0</v>
      </c>
    </row>
    <row r="380" spans="1:10" s="3" customFormat="1" ht="30" customHeight="1" x14ac:dyDescent="0.2">
      <c r="A380" s="123">
        <v>3699</v>
      </c>
      <c r="B380" s="123" t="s">
        <v>487</v>
      </c>
      <c r="C380" s="122">
        <f>SUM(C381)</f>
        <v>200000</v>
      </c>
      <c r="D380" s="122">
        <f>SUM(D381)</f>
        <v>200000</v>
      </c>
      <c r="E380" s="238"/>
      <c r="F380" s="10"/>
      <c r="G380" s="120"/>
      <c r="H380" s="120"/>
      <c r="I380" s="121"/>
      <c r="J380" s="14">
        <v>0</v>
      </c>
    </row>
    <row r="381" spans="1:10" s="3" customFormat="1" ht="30" customHeight="1" x14ac:dyDescent="0.2">
      <c r="A381" s="288" t="s">
        <v>486</v>
      </c>
      <c r="B381" s="155" t="s">
        <v>485</v>
      </c>
      <c r="C381" s="126">
        <v>200000</v>
      </c>
      <c r="D381" s="126">
        <v>200000</v>
      </c>
      <c r="E381" s="233"/>
      <c r="F381" s="10"/>
      <c r="G381" s="126"/>
      <c r="H381" s="126"/>
      <c r="I381" s="130"/>
      <c r="J381" s="14">
        <v>0</v>
      </c>
    </row>
    <row r="382" spans="1:10" s="3" customFormat="1" ht="30" customHeight="1" thickBot="1" x14ac:dyDescent="0.25">
      <c r="A382" s="287"/>
      <c r="B382" s="286"/>
      <c r="C382" s="117"/>
      <c r="D382" s="117"/>
      <c r="E382" s="285"/>
      <c r="F382" s="11"/>
      <c r="G382" s="151"/>
      <c r="H382" s="151"/>
      <c r="I382" s="151"/>
      <c r="J382" s="14"/>
    </row>
    <row r="383" spans="1:10" s="3" customFormat="1" ht="30" customHeight="1" thickBot="1" x14ac:dyDescent="0.25">
      <c r="A383" s="284"/>
      <c r="B383" s="283" t="s">
        <v>484</v>
      </c>
      <c r="C383" s="181">
        <f>SUM(C384+C394+C442+C452+C470)</f>
        <v>114484000</v>
      </c>
      <c r="D383" s="181">
        <f>SUM(D384+D394+D442+D452+D470)</f>
        <v>74499500</v>
      </c>
      <c r="E383" s="47"/>
      <c r="F383" s="707"/>
      <c r="G383" s="571"/>
      <c r="H383" s="181"/>
      <c r="I383" s="181"/>
      <c r="J383" s="6">
        <v>2109783.9500000002</v>
      </c>
    </row>
    <row r="384" spans="1:10" s="3" customFormat="1" ht="30" customHeight="1" thickBot="1" x14ac:dyDescent="0.25">
      <c r="A384" s="282"/>
      <c r="B384" s="281" t="s">
        <v>483</v>
      </c>
      <c r="C384" s="265">
        <f>SUM(C385+C389)</f>
        <v>5530000</v>
      </c>
      <c r="D384" s="265">
        <f>SUM(D385+D389)</f>
        <v>4330000</v>
      </c>
      <c r="E384" s="43"/>
      <c r="F384" s="707"/>
      <c r="G384" s="479"/>
      <c r="H384" s="479"/>
      <c r="I384" s="479"/>
      <c r="J384" s="14">
        <v>15438</v>
      </c>
    </row>
    <row r="385" spans="1:10" s="3" customFormat="1" ht="30" customHeight="1" x14ac:dyDescent="0.2">
      <c r="A385" s="275">
        <v>2310</v>
      </c>
      <c r="B385" s="274" t="s">
        <v>482</v>
      </c>
      <c r="C385" s="273">
        <f>SUM(C386:C388)</f>
        <v>4950000</v>
      </c>
      <c r="D385" s="273">
        <f>SUM(D386:D388)</f>
        <v>3750000</v>
      </c>
      <c r="E385" s="241"/>
      <c r="F385" s="9"/>
      <c r="G385" s="120"/>
      <c r="H385" s="120"/>
      <c r="I385" s="120"/>
      <c r="J385" s="14">
        <v>6000</v>
      </c>
    </row>
    <row r="386" spans="1:10" s="3" customFormat="1" ht="30" customHeight="1" x14ac:dyDescent="0.2">
      <c r="A386" s="261" t="s">
        <v>481</v>
      </c>
      <c r="B386" s="260" t="s">
        <v>480</v>
      </c>
      <c r="C386" s="259">
        <v>4800000</v>
      </c>
      <c r="D386" s="259">
        <f>4800000-93200-1200000</f>
        <v>3506800</v>
      </c>
      <c r="E386" s="233"/>
      <c r="F386" s="10"/>
      <c r="G386" s="126"/>
      <c r="H386" s="126"/>
      <c r="I386" s="126"/>
      <c r="J386" s="14">
        <v>6000</v>
      </c>
    </row>
    <row r="387" spans="1:10" s="3" customFormat="1" ht="30" customHeight="1" x14ac:dyDescent="0.2">
      <c r="A387" s="261" t="s">
        <v>479</v>
      </c>
      <c r="B387" s="260" t="s">
        <v>478</v>
      </c>
      <c r="C387" s="259">
        <v>100000</v>
      </c>
      <c r="D387" s="259">
        <f>100000+93200+6050</f>
        <v>199250</v>
      </c>
      <c r="E387" s="233"/>
      <c r="F387" s="10"/>
      <c r="G387" s="126"/>
      <c r="H387" s="126"/>
      <c r="I387" s="126"/>
      <c r="J387" s="14">
        <v>0</v>
      </c>
    </row>
    <row r="388" spans="1:10" s="3" customFormat="1" ht="30" customHeight="1" x14ac:dyDescent="0.2">
      <c r="A388" s="261" t="s">
        <v>477</v>
      </c>
      <c r="B388" s="260" t="s">
        <v>476</v>
      </c>
      <c r="C388" s="259">
        <v>50000</v>
      </c>
      <c r="D388" s="259">
        <f>50000-6050</f>
        <v>43950</v>
      </c>
      <c r="E388" s="233"/>
      <c r="F388" s="10"/>
      <c r="G388" s="126"/>
      <c r="H388" s="126"/>
      <c r="I388" s="126"/>
      <c r="J388" s="14">
        <v>0</v>
      </c>
    </row>
    <row r="389" spans="1:10" s="3" customFormat="1" ht="30" customHeight="1" x14ac:dyDescent="0.2">
      <c r="A389" s="271">
        <v>2321</v>
      </c>
      <c r="B389" s="270" t="s">
        <v>475</v>
      </c>
      <c r="C389" s="280">
        <f>SUM(C390:C393)</f>
        <v>580000</v>
      </c>
      <c r="D389" s="280">
        <f>SUM(D390:D393)</f>
        <v>580000</v>
      </c>
      <c r="E389" s="238"/>
      <c r="F389" s="10"/>
      <c r="G389" s="120"/>
      <c r="H389" s="120"/>
      <c r="I389" s="120"/>
      <c r="J389" s="14">
        <v>4598</v>
      </c>
    </row>
    <row r="390" spans="1:10" s="3" customFormat="1" ht="30" customHeight="1" x14ac:dyDescent="0.2">
      <c r="A390" s="261" t="s">
        <v>474</v>
      </c>
      <c r="B390" s="260" t="s">
        <v>473</v>
      </c>
      <c r="C390" s="259">
        <v>30000</v>
      </c>
      <c r="D390" s="259">
        <f>30000+21000</f>
        <v>51000</v>
      </c>
      <c r="E390" s="233"/>
      <c r="F390" s="10"/>
      <c r="G390" s="126"/>
      <c r="H390" s="126"/>
      <c r="I390" s="126"/>
      <c r="J390" s="14">
        <v>0</v>
      </c>
    </row>
    <row r="391" spans="1:10" s="3" customFormat="1" ht="30" customHeight="1" x14ac:dyDescent="0.2">
      <c r="A391" s="261" t="s">
        <v>472</v>
      </c>
      <c r="B391" s="260" t="s">
        <v>471</v>
      </c>
      <c r="C391" s="259">
        <v>400000</v>
      </c>
      <c r="D391" s="259">
        <f>400000-15000-21000</f>
        <v>364000</v>
      </c>
      <c r="E391" s="233"/>
      <c r="F391" s="10"/>
      <c r="G391" s="126"/>
      <c r="H391" s="126"/>
      <c r="I391" s="126"/>
      <c r="J391" s="14">
        <v>0</v>
      </c>
    </row>
    <row r="392" spans="1:10" s="3" customFormat="1" ht="30" customHeight="1" x14ac:dyDescent="0.2">
      <c r="A392" s="261" t="s">
        <v>470</v>
      </c>
      <c r="B392" s="260" t="s">
        <v>469</v>
      </c>
      <c r="C392" s="262">
        <v>50000</v>
      </c>
      <c r="D392" s="262">
        <v>50000</v>
      </c>
      <c r="E392" s="233"/>
      <c r="F392" s="10"/>
      <c r="G392" s="126"/>
      <c r="H392" s="126"/>
      <c r="I392" s="126"/>
      <c r="J392" s="14">
        <v>0</v>
      </c>
    </row>
    <row r="393" spans="1:10" s="3" customFormat="1" ht="30" customHeight="1" thickBot="1" x14ac:dyDescent="0.25">
      <c r="A393" s="261" t="s">
        <v>952</v>
      </c>
      <c r="B393" s="260" t="s">
        <v>467</v>
      </c>
      <c r="C393" s="259">
        <v>100000</v>
      </c>
      <c r="D393" s="259">
        <f>100000+15000</f>
        <v>115000</v>
      </c>
      <c r="E393" s="233"/>
      <c r="F393" s="10"/>
      <c r="G393" s="126"/>
      <c r="H393" s="126"/>
      <c r="I393" s="126"/>
      <c r="J393" s="14">
        <v>0</v>
      </c>
    </row>
    <row r="394" spans="1:10" ht="30" customHeight="1" thickBot="1" x14ac:dyDescent="0.3">
      <c r="A394" s="267"/>
      <c r="B394" s="266" t="s">
        <v>466</v>
      </c>
      <c r="C394" s="265">
        <f>SUM(C395+C412+C440)</f>
        <v>38460500</v>
      </c>
      <c r="D394" s="265">
        <f>SUM(D395+D412+D440)</f>
        <v>38030000</v>
      </c>
      <c r="E394" s="43"/>
      <c r="F394" s="707"/>
      <c r="G394" s="479"/>
      <c r="H394" s="479"/>
      <c r="I394" s="479"/>
      <c r="J394" s="14">
        <v>584943.30000000005</v>
      </c>
    </row>
    <row r="395" spans="1:10" ht="30" customHeight="1" x14ac:dyDescent="0.2">
      <c r="A395" s="275">
        <v>2212</v>
      </c>
      <c r="B395" s="274" t="s">
        <v>465</v>
      </c>
      <c r="C395" s="273">
        <f>SUM(C396:C411)</f>
        <v>14360000</v>
      </c>
      <c r="D395" s="273">
        <f>SUM(D396:D411)</f>
        <v>15390000</v>
      </c>
      <c r="E395" s="241"/>
      <c r="F395" s="9"/>
      <c r="G395" s="120"/>
      <c r="H395" s="120"/>
      <c r="I395" s="121"/>
      <c r="J395" s="14">
        <v>223057.5</v>
      </c>
    </row>
    <row r="396" spans="1:10" ht="30" customHeight="1" x14ac:dyDescent="0.2">
      <c r="A396" s="261" t="s">
        <v>464</v>
      </c>
      <c r="B396" s="260" t="s">
        <v>789</v>
      </c>
      <c r="C396" s="259">
        <v>250000</v>
      </c>
      <c r="D396" s="259">
        <f>250000-70000</f>
        <v>180000</v>
      </c>
      <c r="E396" s="233"/>
      <c r="F396" s="10"/>
      <c r="G396" s="126"/>
      <c r="H396" s="126"/>
      <c r="I396" s="130"/>
      <c r="J396" s="14">
        <v>29470</v>
      </c>
    </row>
    <row r="397" spans="1:10" ht="30" customHeight="1" x14ac:dyDescent="0.2">
      <c r="A397" s="261" t="s">
        <v>463</v>
      </c>
      <c r="B397" s="260" t="s">
        <v>462</v>
      </c>
      <c r="C397" s="259">
        <v>5000000</v>
      </c>
      <c r="D397" s="259">
        <f>5000000+800000+70000</f>
        <v>5870000</v>
      </c>
      <c r="E397" s="233"/>
      <c r="F397" s="10"/>
      <c r="G397" s="126"/>
      <c r="H397" s="126"/>
      <c r="I397" s="126"/>
      <c r="J397" s="14">
        <v>0</v>
      </c>
    </row>
    <row r="398" spans="1:10" ht="30" customHeight="1" x14ac:dyDescent="0.2">
      <c r="A398" s="261" t="s">
        <v>461</v>
      </c>
      <c r="B398" s="260" t="s">
        <v>460</v>
      </c>
      <c r="C398" s="259">
        <v>700000</v>
      </c>
      <c r="D398" s="259">
        <f>700000+1600000</f>
        <v>2300000</v>
      </c>
      <c r="E398" s="233"/>
      <c r="F398" s="10"/>
      <c r="G398" s="126"/>
      <c r="H398" s="126"/>
      <c r="I398" s="126"/>
      <c r="J398" s="14">
        <v>0</v>
      </c>
    </row>
    <row r="399" spans="1:10" ht="30" customHeight="1" x14ac:dyDescent="0.2">
      <c r="A399" s="261" t="s">
        <v>459</v>
      </c>
      <c r="B399" s="260" t="s">
        <v>458</v>
      </c>
      <c r="C399" s="259">
        <v>2300000</v>
      </c>
      <c r="D399" s="259">
        <f>2300000+251000</f>
        <v>2551000</v>
      </c>
      <c r="E399" s="233"/>
      <c r="F399" s="10"/>
      <c r="G399" s="126"/>
      <c r="H399" s="126"/>
      <c r="I399" s="126"/>
      <c r="J399" s="14">
        <v>0</v>
      </c>
    </row>
    <row r="400" spans="1:10" ht="30" customHeight="1" x14ac:dyDescent="0.2">
      <c r="A400" s="261" t="s">
        <v>457</v>
      </c>
      <c r="B400" s="260" t="s">
        <v>456</v>
      </c>
      <c r="C400" s="259">
        <v>1500000</v>
      </c>
      <c r="D400" s="259">
        <f>1500000-800000-251000-40000</f>
        <v>409000</v>
      </c>
      <c r="E400" s="233"/>
      <c r="F400" s="10"/>
      <c r="G400" s="126"/>
      <c r="H400" s="126"/>
      <c r="I400" s="126"/>
      <c r="J400" s="14">
        <v>20449</v>
      </c>
    </row>
    <row r="401" spans="1:10" ht="30" customHeight="1" x14ac:dyDescent="0.2">
      <c r="A401" s="261" t="s">
        <v>451</v>
      </c>
      <c r="B401" s="260" t="s">
        <v>450</v>
      </c>
      <c r="C401" s="259">
        <v>1400000</v>
      </c>
      <c r="D401" s="259">
        <f>1400000-400000</f>
        <v>1000000</v>
      </c>
      <c r="E401" s="233"/>
      <c r="F401" s="10"/>
      <c r="G401" s="126"/>
      <c r="H401" s="126"/>
      <c r="I401" s="126"/>
      <c r="J401" s="14">
        <v>13068</v>
      </c>
    </row>
    <row r="402" spans="1:10" ht="30" customHeight="1" x14ac:dyDescent="0.2">
      <c r="A402" s="261" t="s">
        <v>954</v>
      </c>
      <c r="B402" s="260" t="s">
        <v>438</v>
      </c>
      <c r="C402" s="259">
        <v>400000</v>
      </c>
      <c r="D402" s="259">
        <v>400000</v>
      </c>
      <c r="E402" s="487"/>
      <c r="F402" s="489"/>
      <c r="G402" s="126"/>
      <c r="H402" s="126"/>
      <c r="I402" s="126"/>
      <c r="J402" s="14">
        <v>0</v>
      </c>
    </row>
    <row r="403" spans="1:10" ht="30" customHeight="1" x14ac:dyDescent="0.2">
      <c r="A403" s="261" t="s">
        <v>955</v>
      </c>
      <c r="B403" s="260" t="s">
        <v>436</v>
      </c>
      <c r="C403" s="259">
        <v>100000</v>
      </c>
      <c r="D403" s="259">
        <v>100000</v>
      </c>
      <c r="E403" s="233"/>
      <c r="F403" s="10"/>
      <c r="G403" s="126"/>
      <c r="H403" s="126"/>
      <c r="I403" s="126"/>
      <c r="J403" s="14">
        <v>181111.9</v>
      </c>
    </row>
    <row r="404" spans="1:10" ht="30" customHeight="1" x14ac:dyDescent="0.2">
      <c r="A404" s="261" t="s">
        <v>449</v>
      </c>
      <c r="B404" s="260" t="s">
        <v>448</v>
      </c>
      <c r="C404" s="259">
        <f>350000+300000</f>
        <v>650000</v>
      </c>
      <c r="D404" s="259">
        <f>350000+300000</f>
        <v>650000</v>
      </c>
      <c r="E404" s="233"/>
      <c r="F404" s="10"/>
      <c r="G404" s="126"/>
      <c r="H404" s="126"/>
      <c r="I404" s="126"/>
      <c r="J404" s="14">
        <v>0</v>
      </c>
    </row>
    <row r="405" spans="1:10" ht="30" customHeight="1" x14ac:dyDescent="0.2">
      <c r="A405" s="261" t="s">
        <v>455</v>
      </c>
      <c r="B405" s="260" t="s">
        <v>454</v>
      </c>
      <c r="C405" s="259">
        <v>170000</v>
      </c>
      <c r="D405" s="259">
        <f>170000-170000</f>
        <v>0</v>
      </c>
      <c r="E405" s="233"/>
      <c r="F405" s="10"/>
      <c r="G405" s="126"/>
      <c r="H405" s="126"/>
      <c r="I405" s="126"/>
      <c r="J405" s="14">
        <v>44770</v>
      </c>
    </row>
    <row r="406" spans="1:10" ht="30" customHeight="1" x14ac:dyDescent="0.2">
      <c r="A406" s="261" t="s">
        <v>453</v>
      </c>
      <c r="B406" s="260" t="s">
        <v>452</v>
      </c>
      <c r="C406" s="259">
        <v>200000</v>
      </c>
      <c r="D406" s="259">
        <f>200000+40000</f>
        <v>240000</v>
      </c>
      <c r="E406" s="233"/>
      <c r="F406" s="10"/>
      <c r="G406" s="126"/>
      <c r="H406" s="126"/>
      <c r="I406" s="126"/>
      <c r="J406" s="14">
        <v>0</v>
      </c>
    </row>
    <row r="407" spans="1:10" ht="30" customHeight="1" x14ac:dyDescent="0.2">
      <c r="A407" s="261" t="s">
        <v>445</v>
      </c>
      <c r="B407" s="260" t="s">
        <v>444</v>
      </c>
      <c r="C407" s="259">
        <v>90000</v>
      </c>
      <c r="D407" s="259">
        <v>90000</v>
      </c>
      <c r="E407" s="233"/>
      <c r="F407" s="10"/>
      <c r="G407" s="126"/>
      <c r="H407" s="126"/>
      <c r="I407" s="126"/>
      <c r="J407" s="14">
        <v>0</v>
      </c>
    </row>
    <row r="408" spans="1:10" ht="30" customHeight="1" x14ac:dyDescent="0.2">
      <c r="A408" s="261" t="s">
        <v>443</v>
      </c>
      <c r="B408" s="260" t="s">
        <v>442</v>
      </c>
      <c r="C408" s="259">
        <v>350000</v>
      </c>
      <c r="D408" s="259">
        <v>350000</v>
      </c>
      <c r="E408" s="233"/>
      <c r="F408" s="10"/>
      <c r="G408" s="126"/>
      <c r="H408" s="126"/>
      <c r="I408" s="126"/>
      <c r="J408" s="14">
        <v>0</v>
      </c>
    </row>
    <row r="409" spans="1:10" ht="30" customHeight="1" x14ac:dyDescent="0.2">
      <c r="A409" s="261" t="s">
        <v>953</v>
      </c>
      <c r="B409" s="260" t="s">
        <v>439</v>
      </c>
      <c r="C409" s="259">
        <v>100000</v>
      </c>
      <c r="D409" s="259">
        <v>100000</v>
      </c>
      <c r="E409" s="541"/>
      <c r="F409" s="11"/>
      <c r="G409" s="126"/>
      <c r="H409" s="126"/>
      <c r="I409" s="126"/>
      <c r="J409" s="14">
        <v>0</v>
      </c>
    </row>
    <row r="410" spans="1:10" ht="30" customHeight="1" x14ac:dyDescent="0.2">
      <c r="A410" s="261" t="s">
        <v>447</v>
      </c>
      <c r="B410" s="260" t="s">
        <v>446</v>
      </c>
      <c r="C410" s="259">
        <v>650000</v>
      </c>
      <c r="D410" s="259">
        <v>650000</v>
      </c>
      <c r="E410" s="233"/>
      <c r="F410" s="10"/>
      <c r="G410" s="126"/>
      <c r="H410" s="126"/>
      <c r="I410" s="126"/>
      <c r="J410" s="14">
        <v>56083.5</v>
      </c>
    </row>
    <row r="411" spans="1:10" ht="30" customHeight="1" x14ac:dyDescent="0.2">
      <c r="A411" s="261" t="s">
        <v>441</v>
      </c>
      <c r="B411" s="260" t="s">
        <v>440</v>
      </c>
      <c r="C411" s="272">
        <v>500000</v>
      </c>
      <c r="D411" s="272">
        <v>500000</v>
      </c>
      <c r="E411" s="233"/>
      <c r="F411" s="10"/>
      <c r="G411" s="126"/>
      <c r="H411" s="126"/>
      <c r="I411" s="126"/>
      <c r="J411" s="14">
        <v>0</v>
      </c>
    </row>
    <row r="412" spans="1:10" ht="30" customHeight="1" x14ac:dyDescent="0.2">
      <c r="A412" s="271">
        <v>2219</v>
      </c>
      <c r="B412" s="270" t="s">
        <v>435</v>
      </c>
      <c r="C412" s="269">
        <f>SUM(C413:C439)</f>
        <v>24040500</v>
      </c>
      <c r="D412" s="269">
        <f>SUM(D413:D439)</f>
        <v>22580000</v>
      </c>
      <c r="E412" s="482"/>
      <c r="F412" s="104"/>
      <c r="G412" s="120"/>
      <c r="H412" s="121"/>
      <c r="I412" s="120"/>
      <c r="J412" s="14">
        <v>346885.8</v>
      </c>
    </row>
    <row r="413" spans="1:10" ht="30" customHeight="1" x14ac:dyDescent="0.2">
      <c r="A413" s="279" t="s">
        <v>434</v>
      </c>
      <c r="B413" s="278" t="s">
        <v>788</v>
      </c>
      <c r="C413" s="259">
        <v>200000</v>
      </c>
      <c r="D413" s="259">
        <f>200000-82280</f>
        <v>117720</v>
      </c>
      <c r="E413" s="11"/>
      <c r="F413" s="490"/>
      <c r="G413" s="126"/>
      <c r="H413" s="117"/>
      <c r="I413" s="151"/>
      <c r="J413" s="14">
        <v>15292</v>
      </c>
    </row>
    <row r="414" spans="1:10" ht="30" customHeight="1" x14ac:dyDescent="0.2">
      <c r="A414" s="261" t="s">
        <v>433</v>
      </c>
      <c r="B414" s="260" t="s">
        <v>432</v>
      </c>
      <c r="C414" s="259">
        <v>3000000</v>
      </c>
      <c r="D414" s="259">
        <f>3000000-450000-1200000</f>
        <v>1350000</v>
      </c>
      <c r="E414" s="10"/>
      <c r="F414" s="10"/>
      <c r="G414" s="130"/>
      <c r="H414" s="130"/>
      <c r="I414" s="130"/>
      <c r="J414" s="14">
        <v>0</v>
      </c>
    </row>
    <row r="415" spans="1:10" ht="30" customHeight="1" x14ac:dyDescent="0.2">
      <c r="A415" s="261" t="s">
        <v>431</v>
      </c>
      <c r="B415" s="260" t="s">
        <v>430</v>
      </c>
      <c r="C415" s="259">
        <v>200000</v>
      </c>
      <c r="D415" s="259">
        <f>200000-200000</f>
        <v>0</v>
      </c>
      <c r="E415" s="9"/>
      <c r="F415" s="9"/>
      <c r="G415" s="126"/>
      <c r="H415" s="126"/>
      <c r="I415" s="126"/>
      <c r="J415" s="14">
        <v>0</v>
      </c>
    </row>
    <row r="416" spans="1:10" ht="30" customHeight="1" x14ac:dyDescent="0.2">
      <c r="A416" s="261" t="s">
        <v>421</v>
      </c>
      <c r="B416" s="260" t="s">
        <v>420</v>
      </c>
      <c r="C416" s="259">
        <v>50000</v>
      </c>
      <c r="D416" s="259">
        <v>50000</v>
      </c>
      <c r="E416" s="10"/>
      <c r="F416" s="10"/>
      <c r="G416" s="126"/>
      <c r="H416" s="126"/>
      <c r="I416" s="130"/>
      <c r="J416" s="6">
        <v>0</v>
      </c>
    </row>
    <row r="417" spans="1:10" ht="30" customHeight="1" x14ac:dyDescent="0.2">
      <c r="A417" s="261" t="s">
        <v>417</v>
      </c>
      <c r="B417" s="260" t="s">
        <v>416</v>
      </c>
      <c r="C417" s="259">
        <v>160500</v>
      </c>
      <c r="D417" s="259">
        <f>160500-160500</f>
        <v>0</v>
      </c>
      <c r="E417" s="10"/>
      <c r="F417" s="10"/>
      <c r="G417" s="126"/>
      <c r="H417" s="126"/>
      <c r="I417" s="126"/>
      <c r="J417" s="14">
        <v>169642</v>
      </c>
    </row>
    <row r="418" spans="1:10" ht="30" customHeight="1" x14ac:dyDescent="0.2">
      <c r="A418" s="261" t="s">
        <v>409</v>
      </c>
      <c r="B418" s="260" t="s">
        <v>408</v>
      </c>
      <c r="C418" s="259">
        <v>1500000</v>
      </c>
      <c r="D418" s="259">
        <f>1500000-215890-162803+900000</f>
        <v>2021307</v>
      </c>
      <c r="E418" s="10"/>
      <c r="F418" s="10"/>
      <c r="G418" s="126"/>
      <c r="H418" s="126"/>
      <c r="I418" s="126"/>
      <c r="J418" s="14">
        <v>16093</v>
      </c>
    </row>
    <row r="419" spans="1:10" ht="30" customHeight="1" x14ac:dyDescent="0.2">
      <c r="A419" s="261" t="s">
        <v>429</v>
      </c>
      <c r="B419" s="260" t="s">
        <v>428</v>
      </c>
      <c r="C419" s="259">
        <v>8650000</v>
      </c>
      <c r="D419" s="259">
        <f>8650000+1087000</f>
        <v>9737000</v>
      </c>
      <c r="E419" s="10"/>
      <c r="F419" s="10"/>
      <c r="G419" s="126"/>
      <c r="H419" s="126"/>
      <c r="I419" s="130"/>
      <c r="J419" s="14">
        <v>9680</v>
      </c>
    </row>
    <row r="420" spans="1:10" ht="30" customHeight="1" x14ac:dyDescent="0.2">
      <c r="A420" s="261" t="s">
        <v>899</v>
      </c>
      <c r="B420" s="260" t="s">
        <v>403</v>
      </c>
      <c r="C420" s="259">
        <v>500000</v>
      </c>
      <c r="D420" s="259">
        <f>500000+162803</f>
        <v>662803</v>
      </c>
      <c r="E420" s="10"/>
      <c r="F420" s="10"/>
      <c r="G420" s="126"/>
      <c r="H420" s="126"/>
      <c r="I420" s="126"/>
      <c r="J420" s="14">
        <v>0</v>
      </c>
    </row>
    <row r="421" spans="1:10" ht="30" customHeight="1" x14ac:dyDescent="0.2">
      <c r="A421" s="261" t="s">
        <v>425</v>
      </c>
      <c r="B421" s="260" t="s">
        <v>424</v>
      </c>
      <c r="C421" s="259">
        <v>50000</v>
      </c>
      <c r="D421" s="259">
        <v>50000</v>
      </c>
      <c r="E421" s="10"/>
      <c r="F421" s="10"/>
      <c r="G421" s="126"/>
      <c r="H421" s="126"/>
      <c r="I421" s="130"/>
      <c r="J421" s="201">
        <v>0</v>
      </c>
    </row>
    <row r="422" spans="1:10" ht="30" customHeight="1" x14ac:dyDescent="0.2">
      <c r="A422" s="261" t="s">
        <v>427</v>
      </c>
      <c r="B422" s="260" t="s">
        <v>426</v>
      </c>
      <c r="C422" s="259">
        <v>300000</v>
      </c>
      <c r="D422" s="259">
        <v>300000</v>
      </c>
      <c r="E422" s="10"/>
      <c r="F422" s="10"/>
      <c r="G422" s="126"/>
      <c r="H422" s="126"/>
      <c r="I422" s="130"/>
      <c r="J422" s="14">
        <v>0</v>
      </c>
    </row>
    <row r="423" spans="1:10" ht="30" customHeight="1" x14ac:dyDescent="0.2">
      <c r="A423" s="261" t="s">
        <v>407</v>
      </c>
      <c r="B423" s="260" t="s">
        <v>406</v>
      </c>
      <c r="C423" s="259">
        <v>200000</v>
      </c>
      <c r="D423" s="259">
        <v>200000</v>
      </c>
      <c r="E423" s="10"/>
      <c r="F423" s="10"/>
      <c r="G423" s="126"/>
      <c r="H423" s="126"/>
      <c r="I423" s="126"/>
      <c r="J423" s="14">
        <v>116498.8</v>
      </c>
    </row>
    <row r="424" spans="1:10" ht="30" customHeight="1" x14ac:dyDescent="0.2">
      <c r="A424" s="261" t="s">
        <v>423</v>
      </c>
      <c r="B424" s="260" t="s">
        <v>422</v>
      </c>
      <c r="C424" s="259">
        <v>150000</v>
      </c>
      <c r="D424" s="259">
        <v>150000</v>
      </c>
      <c r="E424" s="10"/>
      <c r="F424" s="10"/>
      <c r="G424" s="126"/>
      <c r="H424" s="126"/>
      <c r="I424" s="130"/>
      <c r="J424" s="14">
        <v>0</v>
      </c>
    </row>
    <row r="425" spans="1:10" ht="30" customHeight="1" x14ac:dyDescent="0.2">
      <c r="A425" s="261" t="s">
        <v>415</v>
      </c>
      <c r="B425" s="260" t="s">
        <v>414</v>
      </c>
      <c r="C425" s="259">
        <v>5400000</v>
      </c>
      <c r="D425" s="259">
        <f>5400000+450000</f>
        <v>5850000</v>
      </c>
      <c r="E425" s="10"/>
      <c r="F425" s="10"/>
      <c r="G425" s="126"/>
      <c r="H425" s="126"/>
      <c r="I425" s="126"/>
      <c r="J425" s="14">
        <v>0</v>
      </c>
    </row>
    <row r="426" spans="1:10" ht="30" customHeight="1" x14ac:dyDescent="0.2">
      <c r="A426" s="261" t="s">
        <v>901</v>
      </c>
      <c r="B426" s="278" t="s">
        <v>399</v>
      </c>
      <c r="C426" s="259">
        <v>100000</v>
      </c>
      <c r="D426" s="259">
        <f>100000+80396</f>
        <v>180396</v>
      </c>
      <c r="E426" s="10"/>
      <c r="F426" s="10"/>
      <c r="G426" s="126"/>
      <c r="H426" s="126"/>
      <c r="I426" s="126"/>
      <c r="J426" s="14">
        <v>0</v>
      </c>
    </row>
    <row r="427" spans="1:10" ht="30" customHeight="1" x14ac:dyDescent="0.2">
      <c r="A427" s="261" t="s">
        <v>411</v>
      </c>
      <c r="B427" s="260" t="s">
        <v>410</v>
      </c>
      <c r="C427" s="259">
        <v>550000</v>
      </c>
      <c r="D427" s="259">
        <v>550000</v>
      </c>
      <c r="E427" s="10"/>
      <c r="F427" s="10"/>
      <c r="G427" s="126"/>
      <c r="H427" s="126"/>
      <c r="I427" s="126"/>
      <c r="J427" s="14">
        <v>0</v>
      </c>
    </row>
    <row r="428" spans="1:10" ht="30" customHeight="1" x14ac:dyDescent="0.2">
      <c r="A428" s="261" t="s">
        <v>405</v>
      </c>
      <c r="B428" s="260" t="s">
        <v>404</v>
      </c>
      <c r="C428" s="259">
        <v>130000</v>
      </c>
      <c r="D428" s="259">
        <v>130000</v>
      </c>
      <c r="E428" s="10"/>
      <c r="F428" s="10"/>
      <c r="G428" s="126"/>
      <c r="H428" s="126"/>
      <c r="I428" s="126"/>
      <c r="J428" s="14">
        <v>0</v>
      </c>
    </row>
    <row r="429" spans="1:10" ht="30" customHeight="1" x14ac:dyDescent="0.2">
      <c r="A429" s="261" t="s">
        <v>956</v>
      </c>
      <c r="B429" s="278" t="s">
        <v>402</v>
      </c>
      <c r="C429" s="272">
        <v>200000</v>
      </c>
      <c r="D429" s="272">
        <v>200000</v>
      </c>
      <c r="E429" s="10"/>
      <c r="F429" s="10"/>
      <c r="G429" s="126"/>
      <c r="H429" s="126"/>
      <c r="I429" s="126"/>
      <c r="J429" s="14">
        <v>0</v>
      </c>
    </row>
    <row r="430" spans="1:10" ht="30" customHeight="1" x14ac:dyDescent="0.2">
      <c r="A430" s="261" t="s">
        <v>900</v>
      </c>
      <c r="B430" s="278" t="s">
        <v>401</v>
      </c>
      <c r="C430" s="259">
        <v>100000</v>
      </c>
      <c r="D430" s="259">
        <f>100000+95430</f>
        <v>195430</v>
      </c>
      <c r="E430" s="10"/>
      <c r="F430" s="10"/>
      <c r="G430" s="126"/>
      <c r="H430" s="126"/>
      <c r="I430" s="126"/>
      <c r="J430" s="14">
        <v>0</v>
      </c>
    </row>
    <row r="431" spans="1:10" ht="30" customHeight="1" x14ac:dyDescent="0.2">
      <c r="A431" s="261" t="s">
        <v>957</v>
      </c>
      <c r="B431" s="278" t="s">
        <v>398</v>
      </c>
      <c r="C431" s="259">
        <v>150000</v>
      </c>
      <c r="D431" s="259">
        <v>150000</v>
      </c>
      <c r="E431" s="10"/>
      <c r="F431" s="10"/>
      <c r="G431" s="126"/>
      <c r="H431" s="126"/>
      <c r="I431" s="126"/>
      <c r="J431" s="14">
        <v>0</v>
      </c>
    </row>
    <row r="432" spans="1:10" ht="30" customHeight="1" x14ac:dyDescent="0.2">
      <c r="A432" s="261" t="s">
        <v>902</v>
      </c>
      <c r="B432" s="278" t="s">
        <v>396</v>
      </c>
      <c r="C432" s="259">
        <v>100000</v>
      </c>
      <c r="D432" s="259">
        <f>100000+32035</f>
        <v>132035</v>
      </c>
      <c r="E432" s="10"/>
      <c r="F432" s="10"/>
      <c r="G432" s="126"/>
      <c r="H432" s="126"/>
      <c r="I432" s="126"/>
      <c r="J432" s="14">
        <v>0</v>
      </c>
    </row>
    <row r="433" spans="1:10" ht="30" customHeight="1" x14ac:dyDescent="0.2">
      <c r="A433" s="261" t="s">
        <v>419</v>
      </c>
      <c r="B433" s="260" t="s">
        <v>418</v>
      </c>
      <c r="C433" s="259">
        <v>1200000</v>
      </c>
      <c r="D433" s="259">
        <f>1200000-900000-300000</f>
        <v>0</v>
      </c>
      <c r="E433" s="10"/>
      <c r="F433" s="10"/>
      <c r="G433" s="126"/>
      <c r="H433" s="126"/>
      <c r="I433" s="126"/>
      <c r="J433" s="14">
        <v>0</v>
      </c>
    </row>
    <row r="434" spans="1:10" ht="30" customHeight="1" x14ac:dyDescent="0.2">
      <c r="A434" s="261" t="s">
        <v>903</v>
      </c>
      <c r="B434" s="278" t="s">
        <v>400</v>
      </c>
      <c r="C434" s="259">
        <v>100000</v>
      </c>
      <c r="D434" s="259">
        <f>100000+8029</f>
        <v>108029</v>
      </c>
      <c r="E434" s="10"/>
      <c r="F434" s="10"/>
      <c r="G434" s="126"/>
      <c r="H434" s="126"/>
      <c r="I434" s="126"/>
      <c r="J434" s="14">
        <v>0</v>
      </c>
    </row>
    <row r="435" spans="1:10" ht="30" customHeight="1" x14ac:dyDescent="0.2">
      <c r="A435" s="261" t="s">
        <v>891</v>
      </c>
      <c r="B435" s="278" t="s">
        <v>397</v>
      </c>
      <c r="C435" s="259">
        <v>100000</v>
      </c>
      <c r="D435" s="259">
        <f>100000-100000</f>
        <v>0</v>
      </c>
      <c r="E435" s="10"/>
      <c r="F435" s="10"/>
      <c r="G435" s="126"/>
      <c r="H435" s="126"/>
      <c r="I435" s="126"/>
      <c r="J435" s="14">
        <v>0</v>
      </c>
    </row>
    <row r="436" spans="1:10" ht="30" customHeight="1" x14ac:dyDescent="0.2">
      <c r="A436" s="261" t="s">
        <v>413</v>
      </c>
      <c r="B436" s="260" t="s">
        <v>412</v>
      </c>
      <c r="C436" s="259">
        <v>100000</v>
      </c>
      <c r="D436" s="259">
        <f>100000-100000</f>
        <v>0</v>
      </c>
      <c r="E436" s="10"/>
      <c r="F436" s="10"/>
      <c r="G436" s="126"/>
      <c r="H436" s="126"/>
      <c r="I436" s="126"/>
      <c r="J436" s="14">
        <v>0</v>
      </c>
    </row>
    <row r="437" spans="1:10" ht="30" customHeight="1" x14ac:dyDescent="0.2">
      <c r="A437" s="261" t="s">
        <v>887</v>
      </c>
      <c r="B437" s="260" t="s">
        <v>888</v>
      </c>
      <c r="C437" s="259">
        <v>0</v>
      </c>
      <c r="D437" s="259">
        <v>82280</v>
      </c>
      <c r="E437" s="10"/>
      <c r="F437" s="10"/>
      <c r="G437" s="126"/>
      <c r="H437" s="126"/>
      <c r="I437" s="126"/>
      <c r="J437" s="14">
        <v>0</v>
      </c>
    </row>
    <row r="438" spans="1:10" ht="30" customHeight="1" x14ac:dyDescent="0.2">
      <c r="A438" s="261" t="s">
        <v>958</v>
      </c>
      <c r="B438" s="260" t="s">
        <v>790</v>
      </c>
      <c r="C438" s="259">
        <v>150000</v>
      </c>
      <c r="D438" s="259">
        <v>150000</v>
      </c>
      <c r="E438" s="10"/>
      <c r="F438" s="10"/>
      <c r="G438" s="126"/>
      <c r="H438" s="126"/>
      <c r="I438" s="126"/>
      <c r="J438" s="14">
        <v>0</v>
      </c>
    </row>
    <row r="439" spans="1:10" ht="30" customHeight="1" x14ac:dyDescent="0.2">
      <c r="A439" s="261" t="s">
        <v>959</v>
      </c>
      <c r="B439" s="260" t="s">
        <v>395</v>
      </c>
      <c r="C439" s="259">
        <v>700000</v>
      </c>
      <c r="D439" s="259">
        <f>700000-487000</f>
        <v>213000</v>
      </c>
      <c r="E439" s="10"/>
      <c r="F439" s="10"/>
      <c r="G439" s="126"/>
      <c r="H439" s="126"/>
      <c r="I439" s="126"/>
      <c r="J439" s="14">
        <v>0</v>
      </c>
    </row>
    <row r="440" spans="1:10" ht="30" customHeight="1" x14ac:dyDescent="0.2">
      <c r="A440" s="271">
        <v>2221</v>
      </c>
      <c r="B440" s="270" t="s">
        <v>393</v>
      </c>
      <c r="C440" s="269">
        <f>SUM(C441:C441)</f>
        <v>60000</v>
      </c>
      <c r="D440" s="269">
        <f>SUM(D441:D441)</f>
        <v>60000</v>
      </c>
      <c r="E440" s="18"/>
      <c r="F440" s="10"/>
      <c r="G440" s="120"/>
      <c r="H440" s="120"/>
      <c r="I440" s="120"/>
      <c r="J440" s="14">
        <v>15000</v>
      </c>
    </row>
    <row r="441" spans="1:10" ht="30" customHeight="1" thickBot="1" x14ac:dyDescent="0.25">
      <c r="A441" s="268" t="s">
        <v>960</v>
      </c>
      <c r="B441" s="257" t="s">
        <v>391</v>
      </c>
      <c r="C441" s="256">
        <v>60000</v>
      </c>
      <c r="D441" s="256">
        <v>60000</v>
      </c>
      <c r="E441" s="484"/>
      <c r="F441" s="253"/>
      <c r="G441" s="126"/>
      <c r="H441" s="151"/>
      <c r="I441" s="151"/>
      <c r="J441" s="14">
        <v>0</v>
      </c>
    </row>
    <row r="442" spans="1:10" ht="30" customHeight="1" thickBot="1" x14ac:dyDescent="0.3">
      <c r="A442" s="267"/>
      <c r="B442" s="266" t="s">
        <v>390</v>
      </c>
      <c r="C442" s="265">
        <f>SUM(C443+C445)</f>
        <v>6295000</v>
      </c>
      <c r="D442" s="265">
        <f>SUM(D443+D445)</f>
        <v>4095000</v>
      </c>
      <c r="E442" s="542"/>
      <c r="F442" s="708"/>
      <c r="G442" s="479"/>
      <c r="H442" s="479"/>
      <c r="I442" s="479"/>
      <c r="J442" s="14">
        <v>1076786.68</v>
      </c>
    </row>
    <row r="443" spans="1:10" ht="30" customHeight="1" x14ac:dyDescent="0.2">
      <c r="A443" s="275">
        <v>3613</v>
      </c>
      <c r="B443" s="274" t="s">
        <v>389</v>
      </c>
      <c r="C443" s="273">
        <f>C444</f>
        <v>550000</v>
      </c>
      <c r="D443" s="273">
        <f>D444</f>
        <v>550000</v>
      </c>
      <c r="E443" s="353"/>
      <c r="F443" s="717"/>
      <c r="G443" s="120"/>
      <c r="H443" s="120"/>
      <c r="I443" s="120"/>
      <c r="J443" s="14">
        <v>8000</v>
      </c>
    </row>
    <row r="444" spans="1:10" ht="30" customHeight="1" x14ac:dyDescent="0.2">
      <c r="A444" s="261" t="s">
        <v>388</v>
      </c>
      <c r="B444" s="260" t="s">
        <v>387</v>
      </c>
      <c r="C444" s="259">
        <v>550000</v>
      </c>
      <c r="D444" s="259">
        <v>550000</v>
      </c>
      <c r="E444" s="545"/>
      <c r="F444" s="518"/>
      <c r="G444" s="126"/>
      <c r="H444" s="126"/>
      <c r="I444" s="126"/>
      <c r="J444" s="14">
        <v>8000</v>
      </c>
    </row>
    <row r="445" spans="1:10" ht="30" customHeight="1" x14ac:dyDescent="0.2">
      <c r="A445" s="271">
        <v>3639</v>
      </c>
      <c r="B445" s="270" t="s">
        <v>386</v>
      </c>
      <c r="C445" s="269">
        <f>SUM(C446:C451)</f>
        <v>5745000</v>
      </c>
      <c r="D445" s="269">
        <f>SUM(D446:D451)</f>
        <v>3545000</v>
      </c>
      <c r="E445" s="254"/>
      <c r="F445" s="519"/>
      <c r="G445" s="120"/>
      <c r="H445" s="121"/>
      <c r="I445" s="121"/>
      <c r="J445" s="6">
        <v>1068786.68</v>
      </c>
    </row>
    <row r="446" spans="1:10" ht="30" customHeight="1" x14ac:dyDescent="0.2">
      <c r="A446" s="261" t="s">
        <v>385</v>
      </c>
      <c r="B446" s="260" t="s">
        <v>384</v>
      </c>
      <c r="C446" s="259">
        <v>650000</v>
      </c>
      <c r="D446" s="259">
        <v>650000</v>
      </c>
      <c r="E446" s="543"/>
      <c r="F446" s="544"/>
      <c r="G446" s="126"/>
      <c r="H446" s="126"/>
      <c r="I446" s="126"/>
      <c r="J446" s="6">
        <v>0</v>
      </c>
    </row>
    <row r="447" spans="1:10" ht="30" customHeight="1" x14ac:dyDescent="0.2">
      <c r="A447" s="261" t="s">
        <v>383</v>
      </c>
      <c r="B447" s="260" t="s">
        <v>382</v>
      </c>
      <c r="C447" s="259">
        <v>20000</v>
      </c>
      <c r="D447" s="259">
        <f>20000+1000</f>
        <v>21000</v>
      </c>
      <c r="E447" s="545"/>
      <c r="F447" s="519"/>
      <c r="G447" s="126"/>
      <c r="H447" s="126"/>
      <c r="I447" s="126"/>
      <c r="J447" s="14">
        <v>188</v>
      </c>
    </row>
    <row r="448" spans="1:10" ht="30" customHeight="1" x14ac:dyDescent="0.2">
      <c r="A448" s="261" t="s">
        <v>381</v>
      </c>
      <c r="B448" s="260" t="s">
        <v>980</v>
      </c>
      <c r="C448" s="259">
        <v>20000</v>
      </c>
      <c r="D448" s="259">
        <v>20000</v>
      </c>
      <c r="E448" s="546"/>
      <c r="F448" s="253"/>
      <c r="G448" s="126"/>
      <c r="H448" s="126"/>
      <c r="I448" s="126"/>
      <c r="J448" s="14">
        <v>0</v>
      </c>
    </row>
    <row r="449" spans="1:10" ht="30" customHeight="1" x14ac:dyDescent="0.2">
      <c r="A449" s="261" t="s">
        <v>379</v>
      </c>
      <c r="B449" s="260" t="s">
        <v>378</v>
      </c>
      <c r="C449" s="259">
        <v>470000</v>
      </c>
      <c r="D449" s="259">
        <f>470000-43000</f>
        <v>427000</v>
      </c>
      <c r="E449" s="250"/>
      <c r="F449" s="249"/>
      <c r="G449" s="126"/>
      <c r="H449" s="117"/>
      <c r="I449" s="117"/>
      <c r="J449" s="14">
        <v>0</v>
      </c>
    </row>
    <row r="450" spans="1:10" ht="48" x14ac:dyDescent="0.2">
      <c r="A450" s="261" t="s">
        <v>377</v>
      </c>
      <c r="B450" s="277" t="s">
        <v>376</v>
      </c>
      <c r="C450" s="259">
        <v>4540000</v>
      </c>
      <c r="D450" s="259">
        <f>4540000-700000-1500000</f>
        <v>2340000</v>
      </c>
      <c r="E450" s="209"/>
      <c r="F450" s="209"/>
      <c r="G450" s="126"/>
      <c r="H450" s="130"/>
      <c r="I450" s="130"/>
      <c r="J450" s="6">
        <v>1067126.68</v>
      </c>
    </row>
    <row r="451" spans="1:10" ht="30" customHeight="1" thickBot="1" x14ac:dyDescent="0.25">
      <c r="A451" s="261" t="s">
        <v>375</v>
      </c>
      <c r="B451" s="260" t="s">
        <v>374</v>
      </c>
      <c r="C451" s="259">
        <v>45000</v>
      </c>
      <c r="D451" s="259">
        <f>45000+42000</f>
        <v>87000</v>
      </c>
      <c r="E451" s="492"/>
      <c r="F451" s="493"/>
      <c r="G451" s="126"/>
      <c r="H451" s="126"/>
      <c r="I451" s="126"/>
      <c r="J451" s="6">
        <v>1472</v>
      </c>
    </row>
    <row r="452" spans="1:10" ht="30" customHeight="1" thickBot="1" x14ac:dyDescent="0.3">
      <c r="A452" s="267"/>
      <c r="B452" s="266" t="s">
        <v>373</v>
      </c>
      <c r="C452" s="276">
        <f>SUM(C453,C456,C460,C467)</f>
        <v>63726000</v>
      </c>
      <c r="D452" s="276">
        <f>SUM(D453,D456,D460,D467)</f>
        <v>27872000</v>
      </c>
      <c r="E452" s="43"/>
      <c r="F452" s="707"/>
      <c r="G452" s="479"/>
      <c r="H452" s="479"/>
      <c r="I452" s="479"/>
      <c r="J452" s="14">
        <v>327615.96999999997</v>
      </c>
    </row>
    <row r="453" spans="1:10" ht="30" customHeight="1" x14ac:dyDescent="0.2">
      <c r="A453" s="275">
        <v>3412</v>
      </c>
      <c r="B453" s="274" t="s">
        <v>372</v>
      </c>
      <c r="C453" s="273">
        <f>SUM(C454:C455)</f>
        <v>2500000</v>
      </c>
      <c r="D453" s="273">
        <f>SUM(D454:D455)</f>
        <v>646000</v>
      </c>
      <c r="E453" s="24"/>
      <c r="F453" s="9"/>
      <c r="G453" s="120"/>
      <c r="H453" s="120"/>
      <c r="I453" s="120"/>
      <c r="J453" s="6">
        <v>0</v>
      </c>
    </row>
    <row r="454" spans="1:10" ht="30" customHeight="1" x14ac:dyDescent="0.2">
      <c r="A454" s="261" t="s">
        <v>961</v>
      </c>
      <c r="B454" s="260" t="s">
        <v>371</v>
      </c>
      <c r="C454" s="259">
        <v>500000</v>
      </c>
      <c r="D454" s="259">
        <v>500000</v>
      </c>
      <c r="E454" s="9"/>
      <c r="F454" s="9"/>
      <c r="G454" s="126"/>
      <c r="H454" s="126"/>
      <c r="I454" s="126"/>
      <c r="J454" s="14">
        <v>0</v>
      </c>
    </row>
    <row r="455" spans="1:10" ht="30" customHeight="1" x14ac:dyDescent="0.2">
      <c r="A455" s="261" t="s">
        <v>962</v>
      </c>
      <c r="B455" s="260" t="s">
        <v>369</v>
      </c>
      <c r="C455" s="259">
        <v>2000000</v>
      </c>
      <c r="D455" s="259">
        <f>2000000-1854000</f>
        <v>146000</v>
      </c>
      <c r="E455" s="10"/>
      <c r="F455" s="10"/>
      <c r="G455" s="126"/>
      <c r="H455" s="126"/>
      <c r="I455" s="126"/>
      <c r="J455" s="14">
        <v>0</v>
      </c>
    </row>
    <row r="456" spans="1:10" ht="30" customHeight="1" x14ac:dyDescent="0.2">
      <c r="A456" s="271">
        <v>3613</v>
      </c>
      <c r="B456" s="270" t="s">
        <v>368</v>
      </c>
      <c r="C456" s="269">
        <f>SUM(C457:C459)</f>
        <v>8010000</v>
      </c>
      <c r="D456" s="269">
        <f>SUM(D457:D459)</f>
        <v>2010000</v>
      </c>
      <c r="E456" s="18"/>
      <c r="F456" s="10"/>
      <c r="G456" s="120"/>
      <c r="H456" s="120"/>
      <c r="I456" s="120"/>
      <c r="J456" s="14">
        <v>48400</v>
      </c>
    </row>
    <row r="457" spans="1:10" ht="30" customHeight="1" x14ac:dyDescent="0.2">
      <c r="A457" s="261" t="s">
        <v>367</v>
      </c>
      <c r="B457" s="260" t="s">
        <v>366</v>
      </c>
      <c r="C457" s="259">
        <v>200000</v>
      </c>
      <c r="D457" s="259">
        <v>200000</v>
      </c>
      <c r="E457" s="10"/>
      <c r="F457" s="10"/>
      <c r="G457" s="126"/>
      <c r="H457" s="126"/>
      <c r="I457" s="126"/>
      <c r="J457" s="14">
        <v>0</v>
      </c>
    </row>
    <row r="458" spans="1:10" ht="30" customHeight="1" x14ac:dyDescent="0.2">
      <c r="A458" s="261" t="s">
        <v>365</v>
      </c>
      <c r="B458" s="260" t="s">
        <v>364</v>
      </c>
      <c r="C458" s="259">
        <v>10000</v>
      </c>
      <c r="D458" s="259">
        <v>10000</v>
      </c>
      <c r="E458" s="10"/>
      <c r="F458" s="10"/>
      <c r="G458" s="126"/>
      <c r="H458" s="126"/>
      <c r="I458" s="126"/>
      <c r="J458" s="14">
        <v>0</v>
      </c>
    </row>
    <row r="459" spans="1:10" ht="30" customHeight="1" x14ac:dyDescent="0.2">
      <c r="A459" s="261" t="s">
        <v>363</v>
      </c>
      <c r="B459" s="260" t="s">
        <v>362</v>
      </c>
      <c r="C459" s="259">
        <v>7800000</v>
      </c>
      <c r="D459" s="259">
        <f>7800000-6000000</f>
        <v>1800000</v>
      </c>
      <c r="E459" s="10"/>
      <c r="F459" s="10"/>
      <c r="G459" s="126"/>
      <c r="H459" s="126"/>
      <c r="I459" s="126"/>
      <c r="J459" s="14">
        <v>48400</v>
      </c>
    </row>
    <row r="460" spans="1:10" ht="30" customHeight="1" x14ac:dyDescent="0.2">
      <c r="A460" s="271">
        <v>3631</v>
      </c>
      <c r="B460" s="270" t="s">
        <v>361</v>
      </c>
      <c r="C460" s="269">
        <f>SUM(C461:C466)</f>
        <v>10716000</v>
      </c>
      <c r="D460" s="269">
        <f>SUM(D461:D466)</f>
        <v>7716000</v>
      </c>
      <c r="E460" s="547"/>
      <c r="F460" s="11"/>
      <c r="G460" s="120"/>
      <c r="H460" s="120"/>
      <c r="I460" s="120"/>
      <c r="J460" s="14">
        <v>73384.97</v>
      </c>
    </row>
    <row r="461" spans="1:10" ht="30" customHeight="1" x14ac:dyDescent="0.2">
      <c r="A461" s="261" t="s">
        <v>360</v>
      </c>
      <c r="B461" s="260" t="s">
        <v>359</v>
      </c>
      <c r="C461" s="259">
        <v>6600000</v>
      </c>
      <c r="D461" s="259">
        <f>6600000-1000000-2000000</f>
        <v>3600000</v>
      </c>
      <c r="E461" s="10"/>
      <c r="F461" s="11"/>
      <c r="G461" s="126"/>
      <c r="H461" s="126"/>
      <c r="I461" s="126"/>
      <c r="J461" s="14">
        <v>0</v>
      </c>
    </row>
    <row r="462" spans="1:10" ht="30" customHeight="1" x14ac:dyDescent="0.2">
      <c r="A462" s="261" t="s">
        <v>358</v>
      </c>
      <c r="B462" s="260" t="s">
        <v>357</v>
      </c>
      <c r="C462" s="259">
        <v>1400000</v>
      </c>
      <c r="D462" s="259">
        <f>1400000-60000</f>
        <v>1340000</v>
      </c>
      <c r="E462" s="9"/>
      <c r="F462" s="9"/>
      <c r="G462" s="126"/>
      <c r="H462" s="126"/>
      <c r="I462" s="126"/>
      <c r="J462" s="14">
        <v>0</v>
      </c>
    </row>
    <row r="463" spans="1:10" ht="30" customHeight="1" x14ac:dyDescent="0.2">
      <c r="A463" s="261" t="s">
        <v>356</v>
      </c>
      <c r="B463" s="260" t="s">
        <v>355</v>
      </c>
      <c r="C463" s="259">
        <v>1466000</v>
      </c>
      <c r="D463" s="259">
        <v>1466000</v>
      </c>
      <c r="E463" s="104"/>
      <c r="F463" s="104"/>
      <c r="G463" s="126"/>
      <c r="H463" s="130"/>
      <c r="I463" s="130"/>
      <c r="J463" s="14">
        <v>0</v>
      </c>
    </row>
    <row r="464" spans="1:10" ht="30" customHeight="1" x14ac:dyDescent="0.2">
      <c r="A464" s="261" t="s">
        <v>354</v>
      </c>
      <c r="B464" s="260" t="s">
        <v>353</v>
      </c>
      <c r="C464" s="259">
        <v>1200000</v>
      </c>
      <c r="D464" s="259">
        <v>1200000</v>
      </c>
      <c r="E464" s="186"/>
      <c r="F464" s="186"/>
      <c r="G464" s="126"/>
      <c r="H464" s="126"/>
      <c r="I464" s="126"/>
      <c r="J464" s="14">
        <v>0</v>
      </c>
    </row>
    <row r="465" spans="1:735" ht="30" customHeight="1" x14ac:dyDescent="0.2">
      <c r="A465" s="261" t="s">
        <v>352</v>
      </c>
      <c r="B465" s="260" t="s">
        <v>351</v>
      </c>
      <c r="C465" s="272">
        <v>50000</v>
      </c>
      <c r="D465" s="272">
        <v>50000</v>
      </c>
      <c r="E465" s="130"/>
      <c r="F465" s="208"/>
      <c r="G465" s="126"/>
      <c r="H465" s="126"/>
      <c r="I465" s="126"/>
      <c r="J465" s="14">
        <v>0</v>
      </c>
    </row>
    <row r="466" spans="1:735" ht="30" customHeight="1" x14ac:dyDescent="0.2">
      <c r="A466" s="261" t="s">
        <v>963</v>
      </c>
      <c r="B466" s="260" t="s">
        <v>908</v>
      </c>
      <c r="C466" s="272">
        <v>0</v>
      </c>
      <c r="D466" s="272">
        <v>60000</v>
      </c>
      <c r="E466" s="130"/>
      <c r="F466" s="208"/>
      <c r="G466" s="126"/>
      <c r="H466" s="126"/>
      <c r="I466" s="126"/>
      <c r="J466" s="14">
        <v>0</v>
      </c>
    </row>
    <row r="467" spans="1:735" ht="30" customHeight="1" x14ac:dyDescent="0.2">
      <c r="A467" s="271">
        <v>3633</v>
      </c>
      <c r="B467" s="270" t="s">
        <v>350</v>
      </c>
      <c r="C467" s="269">
        <f>SUM(C468:C469)</f>
        <v>42500000</v>
      </c>
      <c r="D467" s="269">
        <f>SUM(D468:D469)</f>
        <v>17500000</v>
      </c>
      <c r="E467" s="491"/>
      <c r="F467" s="209"/>
      <c r="G467" s="120"/>
      <c r="H467" s="120"/>
      <c r="I467" s="120"/>
      <c r="J467" s="6">
        <v>113256</v>
      </c>
    </row>
    <row r="468" spans="1:735" ht="30" customHeight="1" x14ac:dyDescent="0.2">
      <c r="A468" s="261" t="s">
        <v>349</v>
      </c>
      <c r="B468" s="260" t="s">
        <v>348</v>
      </c>
      <c r="C468" s="259">
        <v>1500000</v>
      </c>
      <c r="D468" s="259">
        <f>1500000-1500000</f>
        <v>0</v>
      </c>
      <c r="E468" s="210"/>
      <c r="F468" s="209"/>
      <c r="G468" s="126"/>
      <c r="H468" s="126"/>
      <c r="I468" s="126"/>
      <c r="J468" s="14">
        <v>0</v>
      </c>
    </row>
    <row r="469" spans="1:735" ht="30" customHeight="1" thickBot="1" x14ac:dyDescent="0.25">
      <c r="A469" s="261" t="s">
        <v>347</v>
      </c>
      <c r="B469" s="260" t="s">
        <v>346</v>
      </c>
      <c r="C469" s="259">
        <v>41000000</v>
      </c>
      <c r="D469" s="259">
        <f>41000000-8000000-18000000+1500000+1000000</f>
        <v>17500000</v>
      </c>
      <c r="E469" s="210"/>
      <c r="F469" s="209"/>
      <c r="G469" s="126"/>
      <c r="H469" s="126"/>
      <c r="I469" s="126"/>
      <c r="J469" s="14">
        <v>48400</v>
      </c>
    </row>
    <row r="470" spans="1:735" ht="30" customHeight="1" thickBot="1" x14ac:dyDescent="0.3">
      <c r="A470" s="267"/>
      <c r="B470" s="266" t="s">
        <v>345</v>
      </c>
      <c r="C470" s="265">
        <f>SUM(C471:C474)</f>
        <v>472500</v>
      </c>
      <c r="D470" s="265">
        <f>SUM(D471:D474)</f>
        <v>172500</v>
      </c>
      <c r="E470" s="43"/>
      <c r="F470" s="707"/>
      <c r="G470" s="479"/>
      <c r="H470" s="479"/>
      <c r="I470" s="479"/>
      <c r="J470" s="6">
        <v>105000</v>
      </c>
    </row>
    <row r="471" spans="1:735" ht="30" customHeight="1" x14ac:dyDescent="0.2">
      <c r="A471" s="264" t="s">
        <v>344</v>
      </c>
      <c r="B471" s="263" t="s">
        <v>343</v>
      </c>
      <c r="C471" s="262">
        <v>150000</v>
      </c>
      <c r="D471" s="262">
        <f>150000-150000</f>
        <v>0</v>
      </c>
      <c r="E471" s="492"/>
      <c r="F471" s="9"/>
      <c r="G471" s="126"/>
      <c r="H471" s="126"/>
      <c r="I471" s="126"/>
      <c r="J471" s="14">
        <v>0</v>
      </c>
    </row>
    <row r="472" spans="1:735" ht="30" customHeight="1" x14ac:dyDescent="0.2">
      <c r="A472" s="261" t="s">
        <v>342</v>
      </c>
      <c r="B472" s="260" t="s">
        <v>341</v>
      </c>
      <c r="C472" s="259">
        <v>150000</v>
      </c>
      <c r="D472" s="259">
        <f>150000-150000</f>
        <v>0</v>
      </c>
      <c r="E472" s="10"/>
      <c r="F472" s="10"/>
      <c r="G472" s="126"/>
      <c r="H472" s="126"/>
      <c r="I472" s="126"/>
      <c r="J472" s="14">
        <v>0</v>
      </c>
    </row>
    <row r="473" spans="1:735" ht="30" customHeight="1" x14ac:dyDescent="0.2">
      <c r="A473" s="261" t="s">
        <v>340</v>
      </c>
      <c r="B473" s="260" t="s">
        <v>339</v>
      </c>
      <c r="C473" s="259">
        <v>172500</v>
      </c>
      <c r="D473" s="259">
        <v>172500</v>
      </c>
      <c r="E473" s="210"/>
      <c r="F473" s="10"/>
      <c r="G473" s="126"/>
      <c r="H473" s="126"/>
      <c r="I473" s="126"/>
      <c r="J473" s="14">
        <v>105000</v>
      </c>
    </row>
    <row r="474" spans="1:735" ht="30" customHeight="1" thickBot="1" x14ac:dyDescent="0.25">
      <c r="A474" s="258"/>
      <c r="B474" s="257"/>
      <c r="C474" s="256"/>
      <c r="D474" s="256"/>
      <c r="E474" s="11"/>
      <c r="F474" s="11"/>
      <c r="G474" s="151"/>
      <c r="H474" s="151"/>
      <c r="I474" s="151"/>
      <c r="J474" s="14"/>
    </row>
    <row r="475" spans="1:735" ht="30" customHeight="1" thickBot="1" x14ac:dyDescent="0.25">
      <c r="A475" s="255"/>
      <c r="B475" s="243" t="s">
        <v>338</v>
      </c>
      <c r="C475" s="242">
        <f>SUM(C476:C478)</f>
        <v>3640000</v>
      </c>
      <c r="D475" s="242">
        <f>SUM(D476:D478)</f>
        <v>2714871</v>
      </c>
      <c r="E475" s="48"/>
      <c r="F475" s="709"/>
      <c r="G475" s="571"/>
      <c r="H475" s="181"/>
      <c r="I475" s="181"/>
      <c r="J475" s="6">
        <v>2933172</v>
      </c>
    </row>
    <row r="476" spans="1:735" ht="30" customHeight="1" x14ac:dyDescent="0.2">
      <c r="A476" s="248">
        <v>2141</v>
      </c>
      <c r="B476" s="175" t="s">
        <v>337</v>
      </c>
      <c r="C476" s="120">
        <v>950000</v>
      </c>
      <c r="D476" s="120">
        <f>950000-810000+2000000</f>
        <v>2140000</v>
      </c>
      <c r="E476" s="494"/>
      <c r="F476" s="208"/>
      <c r="G476" s="120"/>
      <c r="H476" s="120"/>
      <c r="I476" s="120"/>
      <c r="J476" s="6">
        <v>2079396</v>
      </c>
    </row>
    <row r="477" spans="1:735" ht="30" customHeight="1" x14ac:dyDescent="0.2">
      <c r="A477" s="20">
        <v>3341</v>
      </c>
      <c r="B477" s="123" t="s">
        <v>336</v>
      </c>
      <c r="C477" s="120">
        <v>2670000</v>
      </c>
      <c r="D477" s="120">
        <f>2670000-2095129</f>
        <v>574871</v>
      </c>
      <c r="E477" s="494"/>
      <c r="F477" s="208"/>
      <c r="G477" s="120"/>
      <c r="H477" s="120"/>
      <c r="I477" s="120"/>
      <c r="J477" s="14">
        <v>853779</v>
      </c>
    </row>
    <row r="478" spans="1:735" ht="30" customHeight="1" x14ac:dyDescent="0.2">
      <c r="A478" s="180">
        <v>3399</v>
      </c>
      <c r="B478" s="123" t="s">
        <v>335</v>
      </c>
      <c r="C478" s="120">
        <v>20000</v>
      </c>
      <c r="D478" s="120">
        <f>20000-20000</f>
        <v>0</v>
      </c>
      <c r="E478" s="494"/>
      <c r="F478" s="208"/>
      <c r="G478" s="120"/>
      <c r="H478" s="120"/>
      <c r="I478" s="120"/>
      <c r="J478" s="14">
        <v>0</v>
      </c>
    </row>
    <row r="479" spans="1:735" s="17" customFormat="1" ht="30" customHeight="1" thickBot="1" x14ac:dyDescent="0.3">
      <c r="A479" s="252"/>
      <c r="B479" s="251"/>
      <c r="C479" s="117"/>
      <c r="D479" s="117"/>
      <c r="E479" s="117"/>
      <c r="F479" s="352"/>
      <c r="G479" s="151"/>
      <c r="H479" s="151"/>
      <c r="I479" s="151"/>
      <c r="J479" s="14"/>
      <c r="K479" s="579"/>
      <c r="L479" s="579"/>
      <c r="M479" s="220"/>
      <c r="N479" s="579"/>
      <c r="O479" s="579"/>
      <c r="P479" s="579"/>
      <c r="Q479" s="579"/>
      <c r="R479" s="579"/>
      <c r="S479" s="579"/>
      <c r="T479" s="579"/>
      <c r="U479" s="579"/>
      <c r="V479" s="579"/>
      <c r="W479" s="579"/>
      <c r="X479" s="579"/>
      <c r="Y479" s="579"/>
      <c r="Z479" s="579"/>
      <c r="AA479" s="579"/>
      <c r="AB479" s="579"/>
      <c r="AC479" s="579"/>
      <c r="AD479" s="579"/>
      <c r="AE479" s="579"/>
      <c r="AF479" s="579"/>
      <c r="AG479" s="579"/>
      <c r="AH479" s="579"/>
      <c r="AI479" s="579"/>
      <c r="AJ479" s="579"/>
      <c r="AK479" s="579"/>
      <c r="AL479" s="579"/>
      <c r="AM479" s="579"/>
      <c r="AN479" s="579"/>
      <c r="AO479" s="579"/>
      <c r="AP479" s="579"/>
      <c r="AQ479" s="579"/>
      <c r="AR479" s="579"/>
      <c r="AS479" s="579"/>
      <c r="AT479" s="579"/>
      <c r="AU479" s="579"/>
      <c r="AV479" s="579"/>
      <c r="AW479" s="579"/>
      <c r="AX479" s="579"/>
      <c r="AY479" s="579"/>
      <c r="AZ479" s="579"/>
      <c r="BA479" s="579"/>
      <c r="BB479" s="579"/>
      <c r="BC479" s="579"/>
      <c r="BD479" s="579"/>
      <c r="BE479" s="579"/>
      <c r="BF479" s="579"/>
      <c r="BG479" s="579"/>
      <c r="BH479" s="579"/>
      <c r="BI479" s="579"/>
      <c r="BJ479" s="579"/>
      <c r="BK479" s="579"/>
      <c r="BL479" s="579"/>
      <c r="BM479" s="579"/>
      <c r="BN479" s="579"/>
      <c r="BO479" s="579"/>
      <c r="BP479" s="579"/>
      <c r="BQ479" s="579"/>
      <c r="BR479" s="579"/>
      <c r="BS479" s="579"/>
      <c r="BT479" s="579"/>
      <c r="BU479" s="579"/>
      <c r="BV479" s="579"/>
      <c r="BW479" s="579"/>
      <c r="BX479" s="579"/>
      <c r="BY479" s="579"/>
      <c r="BZ479" s="579"/>
      <c r="CA479" s="579"/>
      <c r="CB479" s="579"/>
      <c r="CC479" s="579"/>
      <c r="CD479" s="579"/>
      <c r="CE479" s="579"/>
      <c r="CF479" s="579"/>
      <c r="CG479" s="579"/>
      <c r="CH479" s="579"/>
      <c r="CI479" s="579"/>
      <c r="CJ479" s="579"/>
      <c r="CK479" s="579"/>
      <c r="CL479" s="579"/>
      <c r="CM479" s="579"/>
      <c r="CN479" s="579"/>
      <c r="CO479" s="579"/>
      <c r="CP479" s="579"/>
      <c r="CQ479" s="579"/>
      <c r="CR479" s="579"/>
      <c r="CS479" s="579"/>
      <c r="CT479" s="579"/>
      <c r="CU479" s="579"/>
      <c r="CV479" s="579"/>
      <c r="CW479" s="579"/>
      <c r="CX479" s="579"/>
      <c r="CY479" s="579"/>
      <c r="CZ479" s="579"/>
      <c r="DA479" s="579"/>
      <c r="DB479" s="579"/>
      <c r="DC479" s="579"/>
      <c r="DD479" s="579"/>
      <c r="DE479" s="579"/>
      <c r="DF479" s="579"/>
      <c r="DG479" s="579"/>
      <c r="DH479" s="579"/>
      <c r="DI479" s="579"/>
      <c r="DJ479" s="579"/>
      <c r="DK479" s="579"/>
      <c r="DL479" s="579"/>
      <c r="DM479" s="579"/>
      <c r="DN479" s="579"/>
      <c r="DO479" s="579"/>
      <c r="DP479" s="579"/>
      <c r="DQ479" s="579"/>
      <c r="DR479" s="579"/>
      <c r="DS479" s="579"/>
      <c r="DT479" s="579"/>
      <c r="DU479" s="579"/>
      <c r="DV479" s="579"/>
      <c r="DW479" s="579"/>
      <c r="DX479" s="579"/>
      <c r="DY479" s="579"/>
      <c r="DZ479" s="579"/>
      <c r="EA479" s="579"/>
      <c r="EB479" s="579"/>
      <c r="EC479" s="579"/>
      <c r="ED479" s="579"/>
      <c r="EE479" s="579"/>
      <c r="EF479" s="579"/>
      <c r="EG479" s="579"/>
      <c r="EH479" s="579"/>
      <c r="EI479" s="579"/>
      <c r="EJ479" s="579"/>
      <c r="EK479" s="579"/>
      <c r="EL479" s="579"/>
      <c r="EM479" s="579"/>
      <c r="EN479" s="579"/>
      <c r="EO479" s="579"/>
      <c r="EP479" s="579"/>
      <c r="EQ479" s="579"/>
      <c r="ER479" s="579"/>
      <c r="ES479" s="579"/>
      <c r="ET479" s="579"/>
      <c r="EU479" s="579"/>
      <c r="EV479" s="579"/>
      <c r="EW479" s="579"/>
      <c r="EX479" s="579"/>
      <c r="EY479" s="579"/>
      <c r="EZ479" s="579"/>
      <c r="FA479" s="579"/>
      <c r="FB479" s="579"/>
      <c r="FC479" s="579"/>
      <c r="FD479" s="579"/>
      <c r="FE479" s="579"/>
      <c r="FF479" s="579"/>
      <c r="FG479" s="579"/>
      <c r="FH479" s="579"/>
      <c r="FI479" s="579"/>
      <c r="FJ479" s="579"/>
      <c r="FK479" s="579"/>
      <c r="FL479" s="579"/>
      <c r="FM479" s="579"/>
      <c r="FN479" s="579"/>
      <c r="FO479" s="579"/>
      <c r="FP479" s="579"/>
      <c r="FQ479" s="579"/>
      <c r="FR479" s="579"/>
      <c r="FS479" s="579"/>
      <c r="FT479" s="579"/>
      <c r="FU479" s="579"/>
      <c r="FV479" s="579"/>
      <c r="FW479" s="579"/>
      <c r="FX479" s="579"/>
      <c r="FY479" s="579"/>
      <c r="FZ479" s="579"/>
      <c r="GA479" s="579"/>
      <c r="GB479" s="579"/>
      <c r="GC479" s="579"/>
      <c r="GD479" s="579"/>
      <c r="GE479" s="579"/>
      <c r="GF479" s="579"/>
      <c r="GG479" s="579"/>
      <c r="GH479" s="579"/>
      <c r="GI479" s="579"/>
      <c r="GJ479" s="579"/>
      <c r="GK479" s="579"/>
      <c r="GL479" s="579"/>
      <c r="GM479" s="579"/>
      <c r="GN479" s="579"/>
      <c r="GO479" s="579"/>
      <c r="GP479" s="579"/>
      <c r="GQ479" s="579"/>
      <c r="GR479" s="579"/>
      <c r="GS479" s="579"/>
      <c r="GT479" s="579"/>
      <c r="GU479" s="579"/>
      <c r="GV479" s="579"/>
      <c r="GW479" s="579"/>
      <c r="GX479" s="579"/>
      <c r="GY479" s="579"/>
      <c r="GZ479" s="579"/>
      <c r="HA479" s="579"/>
      <c r="HB479" s="579"/>
      <c r="HC479" s="579"/>
      <c r="HD479" s="579"/>
      <c r="HE479" s="579"/>
      <c r="HF479" s="579"/>
      <c r="HG479" s="579"/>
      <c r="HH479" s="579"/>
      <c r="HI479" s="579"/>
      <c r="HJ479" s="579"/>
      <c r="HK479" s="579"/>
      <c r="HL479" s="579"/>
      <c r="HM479" s="579"/>
      <c r="HN479" s="579"/>
      <c r="HO479" s="579"/>
      <c r="HP479" s="579"/>
      <c r="HQ479" s="579"/>
      <c r="HR479" s="579"/>
      <c r="HS479" s="579"/>
      <c r="HT479" s="579"/>
      <c r="HU479" s="579"/>
      <c r="HV479" s="579"/>
      <c r="HW479" s="579"/>
      <c r="HX479" s="579"/>
      <c r="HY479" s="579"/>
      <c r="HZ479" s="579"/>
      <c r="IA479" s="579"/>
      <c r="IB479" s="579"/>
      <c r="IC479" s="579"/>
      <c r="ID479" s="579"/>
      <c r="IE479" s="579"/>
      <c r="IF479" s="579"/>
      <c r="IG479" s="579"/>
      <c r="IH479" s="579"/>
      <c r="II479" s="579"/>
      <c r="IJ479" s="579"/>
      <c r="IK479" s="579"/>
      <c r="IL479" s="579"/>
      <c r="IM479" s="579"/>
      <c r="IN479" s="579"/>
      <c r="IO479" s="579"/>
      <c r="IP479" s="579"/>
      <c r="IQ479" s="579"/>
      <c r="IR479" s="579"/>
      <c r="IS479" s="579"/>
      <c r="IT479" s="579"/>
      <c r="IU479" s="579"/>
      <c r="IV479" s="579"/>
      <c r="IW479" s="579"/>
      <c r="IX479" s="579"/>
      <c r="IY479" s="579"/>
      <c r="IZ479" s="579"/>
      <c r="JA479" s="579"/>
      <c r="JB479" s="579"/>
      <c r="JC479" s="579"/>
      <c r="JD479" s="579"/>
      <c r="JE479" s="579"/>
      <c r="JF479" s="579"/>
      <c r="JG479" s="579"/>
      <c r="JH479" s="579"/>
      <c r="JI479" s="579"/>
      <c r="JJ479" s="579"/>
      <c r="JK479" s="579"/>
      <c r="JL479" s="579"/>
      <c r="JM479" s="579"/>
      <c r="JN479" s="579"/>
      <c r="JO479" s="579"/>
      <c r="JP479" s="579"/>
      <c r="JQ479" s="579"/>
      <c r="JR479" s="579"/>
      <c r="JS479" s="579"/>
      <c r="JT479" s="579"/>
      <c r="JU479" s="579"/>
      <c r="JV479" s="579"/>
      <c r="JW479" s="579"/>
      <c r="JX479" s="579"/>
      <c r="JY479" s="579"/>
      <c r="JZ479" s="579"/>
      <c r="KA479" s="579"/>
      <c r="KB479" s="579"/>
      <c r="KC479" s="579"/>
      <c r="KD479" s="579"/>
      <c r="KE479" s="579"/>
      <c r="KF479" s="579"/>
      <c r="KG479" s="579"/>
      <c r="KH479" s="579"/>
      <c r="KI479" s="579"/>
      <c r="KJ479" s="579"/>
      <c r="KK479" s="579"/>
      <c r="KL479" s="579"/>
      <c r="KM479" s="579"/>
      <c r="KN479" s="579"/>
      <c r="KO479" s="579"/>
      <c r="KP479" s="579"/>
      <c r="KQ479" s="579"/>
      <c r="KR479" s="579"/>
      <c r="KS479" s="579"/>
      <c r="KT479" s="579"/>
      <c r="KU479" s="579"/>
      <c r="KV479" s="579"/>
      <c r="KW479" s="579"/>
      <c r="KX479" s="579"/>
      <c r="KY479" s="579"/>
      <c r="KZ479" s="579"/>
      <c r="LA479" s="579"/>
      <c r="LB479" s="579"/>
      <c r="LC479" s="579"/>
      <c r="LD479" s="579"/>
      <c r="LE479" s="579"/>
      <c r="LF479" s="579"/>
      <c r="LG479" s="579"/>
      <c r="LH479" s="579"/>
      <c r="LI479" s="579"/>
      <c r="LJ479" s="579"/>
      <c r="LK479" s="579"/>
      <c r="LL479" s="579"/>
      <c r="LM479" s="579"/>
      <c r="LN479" s="579"/>
      <c r="LO479" s="579"/>
      <c r="LP479" s="579"/>
      <c r="LQ479" s="579"/>
      <c r="LR479" s="579"/>
      <c r="LS479" s="579"/>
      <c r="LT479" s="579"/>
      <c r="LU479" s="579"/>
      <c r="LV479" s="579"/>
      <c r="LW479" s="579"/>
      <c r="LX479" s="579"/>
      <c r="LY479" s="579"/>
      <c r="LZ479" s="579"/>
      <c r="MA479" s="579"/>
      <c r="MB479" s="579"/>
      <c r="MC479" s="579"/>
      <c r="MD479" s="579"/>
      <c r="ME479" s="579"/>
      <c r="MF479" s="579"/>
      <c r="MG479" s="579"/>
      <c r="MH479" s="579"/>
      <c r="MI479" s="579"/>
      <c r="MJ479" s="579"/>
      <c r="MK479" s="579"/>
      <c r="ML479" s="579"/>
      <c r="MM479" s="579"/>
      <c r="MN479" s="579"/>
      <c r="MO479" s="579"/>
      <c r="MP479" s="579"/>
      <c r="MQ479" s="579"/>
      <c r="MR479" s="579"/>
      <c r="MS479" s="579"/>
      <c r="MT479" s="579"/>
      <c r="MU479" s="579"/>
      <c r="MV479" s="579"/>
      <c r="MW479" s="579"/>
      <c r="MX479" s="579"/>
      <c r="MY479" s="579"/>
      <c r="MZ479" s="579"/>
      <c r="NA479" s="579"/>
      <c r="NB479" s="579"/>
      <c r="NC479" s="579"/>
      <c r="ND479" s="579"/>
      <c r="NE479" s="579"/>
      <c r="NF479" s="579"/>
      <c r="NG479" s="579"/>
      <c r="NH479" s="579"/>
      <c r="NI479" s="579"/>
      <c r="NJ479" s="579"/>
      <c r="NK479" s="579"/>
      <c r="NL479" s="579"/>
      <c r="NM479" s="579"/>
      <c r="NN479" s="579"/>
      <c r="NO479" s="579"/>
      <c r="NP479" s="579"/>
      <c r="NQ479" s="579"/>
      <c r="NR479" s="579"/>
      <c r="NS479" s="579"/>
      <c r="NT479" s="579"/>
      <c r="NU479" s="579"/>
      <c r="NV479" s="579"/>
      <c r="NW479" s="579"/>
      <c r="NX479" s="579"/>
      <c r="NY479" s="579"/>
      <c r="NZ479" s="579"/>
      <c r="OA479" s="579"/>
      <c r="OB479" s="579"/>
      <c r="OC479" s="579"/>
      <c r="OD479" s="579"/>
      <c r="OE479" s="579"/>
      <c r="OF479" s="579"/>
      <c r="OG479" s="579"/>
      <c r="OH479" s="579"/>
      <c r="OI479" s="579"/>
      <c r="OJ479" s="579"/>
      <c r="OK479" s="579"/>
      <c r="OL479" s="579"/>
      <c r="OM479" s="579"/>
      <c r="ON479" s="579"/>
      <c r="OO479" s="579"/>
      <c r="OP479" s="579"/>
      <c r="OQ479" s="579"/>
      <c r="OR479" s="579"/>
      <c r="OS479" s="579"/>
      <c r="OT479" s="579"/>
      <c r="OU479" s="579"/>
      <c r="OV479" s="579"/>
      <c r="OW479" s="579"/>
      <c r="OX479" s="579"/>
      <c r="OY479" s="579"/>
      <c r="OZ479" s="579"/>
      <c r="PA479" s="579"/>
      <c r="PB479" s="579"/>
      <c r="PC479" s="579"/>
      <c r="PD479" s="579"/>
      <c r="PE479" s="579"/>
      <c r="PF479" s="579"/>
      <c r="PG479" s="579"/>
      <c r="PH479" s="579"/>
      <c r="PI479" s="579"/>
      <c r="PJ479" s="579"/>
      <c r="PK479" s="579"/>
      <c r="PL479" s="579"/>
      <c r="PM479" s="579"/>
      <c r="PN479" s="579"/>
      <c r="PO479" s="579"/>
      <c r="PP479" s="579"/>
      <c r="PQ479" s="579"/>
      <c r="PR479" s="579"/>
      <c r="PS479" s="579"/>
      <c r="PT479" s="579"/>
      <c r="PU479" s="579"/>
      <c r="PV479" s="579"/>
      <c r="PW479" s="579"/>
      <c r="PX479" s="579"/>
      <c r="PY479" s="579"/>
      <c r="PZ479" s="579"/>
      <c r="QA479" s="579"/>
      <c r="QB479" s="579"/>
      <c r="QC479" s="579"/>
      <c r="QD479" s="579"/>
      <c r="QE479" s="579"/>
      <c r="QF479" s="579"/>
      <c r="QG479" s="579"/>
      <c r="QH479" s="579"/>
      <c r="QI479" s="579"/>
      <c r="QJ479" s="579"/>
      <c r="QK479" s="579"/>
      <c r="QL479" s="579"/>
      <c r="QM479" s="579"/>
      <c r="QN479" s="579"/>
      <c r="QO479" s="579"/>
      <c r="QP479" s="579"/>
      <c r="QQ479" s="579"/>
      <c r="QR479" s="579"/>
      <c r="QS479" s="579"/>
      <c r="QT479" s="579"/>
      <c r="QU479" s="579"/>
      <c r="QV479" s="579"/>
      <c r="QW479" s="579"/>
      <c r="QX479" s="579"/>
      <c r="QY479" s="579"/>
      <c r="QZ479" s="579"/>
      <c r="RA479" s="579"/>
      <c r="RB479" s="579"/>
      <c r="RC479" s="579"/>
      <c r="RD479" s="579"/>
      <c r="RE479" s="579"/>
      <c r="RF479" s="579"/>
      <c r="RG479" s="579"/>
      <c r="RH479" s="579"/>
      <c r="RI479" s="579"/>
      <c r="RJ479" s="579"/>
      <c r="RK479" s="579"/>
      <c r="RL479" s="579"/>
      <c r="RM479" s="579"/>
      <c r="RN479" s="579"/>
      <c r="RO479" s="579"/>
      <c r="RP479" s="579"/>
      <c r="RQ479" s="579"/>
      <c r="RR479" s="579"/>
      <c r="RS479" s="579"/>
      <c r="RT479" s="579"/>
      <c r="RU479" s="579"/>
      <c r="RV479" s="579"/>
      <c r="RW479" s="579"/>
      <c r="RX479" s="579"/>
      <c r="RY479" s="579"/>
      <c r="RZ479" s="579"/>
      <c r="SA479" s="579"/>
      <c r="SB479" s="579"/>
      <c r="SC479" s="579"/>
      <c r="SD479" s="579"/>
      <c r="SE479" s="579"/>
      <c r="SF479" s="579"/>
      <c r="SG479" s="579"/>
      <c r="SH479" s="579"/>
      <c r="SI479" s="579"/>
      <c r="SJ479" s="579"/>
      <c r="SK479" s="579"/>
      <c r="SL479" s="579"/>
      <c r="SM479" s="579"/>
      <c r="SN479" s="579"/>
      <c r="SO479" s="579"/>
      <c r="SP479" s="579"/>
      <c r="SQ479" s="579"/>
      <c r="SR479" s="579"/>
      <c r="SS479" s="579"/>
      <c r="ST479" s="579"/>
      <c r="SU479" s="579"/>
      <c r="SV479" s="579"/>
      <c r="SW479" s="579"/>
      <c r="SX479" s="579"/>
      <c r="SY479" s="579"/>
      <c r="SZ479" s="579"/>
      <c r="TA479" s="579"/>
      <c r="TB479" s="579"/>
      <c r="TC479" s="579"/>
      <c r="TD479" s="579"/>
      <c r="TE479" s="579"/>
      <c r="TF479" s="579"/>
      <c r="TG479" s="579"/>
      <c r="TH479" s="579"/>
      <c r="TI479" s="579"/>
      <c r="TJ479" s="579"/>
      <c r="TK479" s="579"/>
      <c r="TL479" s="579"/>
      <c r="TM479" s="579"/>
      <c r="TN479" s="579"/>
      <c r="TO479" s="579"/>
      <c r="TP479" s="579"/>
      <c r="TQ479" s="579"/>
      <c r="TR479" s="579"/>
      <c r="TS479" s="579"/>
      <c r="TT479" s="579"/>
      <c r="TU479" s="579"/>
      <c r="TV479" s="579"/>
      <c r="TW479" s="579"/>
      <c r="TX479" s="579"/>
      <c r="TY479" s="579"/>
      <c r="TZ479" s="579"/>
      <c r="UA479" s="579"/>
      <c r="UB479" s="579"/>
      <c r="UC479" s="579"/>
      <c r="UD479" s="579"/>
      <c r="UE479" s="579"/>
      <c r="UF479" s="579"/>
      <c r="UG479" s="579"/>
      <c r="UH479" s="579"/>
      <c r="UI479" s="579"/>
      <c r="UJ479" s="579"/>
      <c r="UK479" s="579"/>
      <c r="UL479" s="579"/>
      <c r="UM479" s="579"/>
      <c r="UN479" s="579"/>
      <c r="UO479" s="579"/>
      <c r="UP479" s="579"/>
      <c r="UQ479" s="579"/>
      <c r="UR479" s="579"/>
      <c r="US479" s="579"/>
      <c r="UT479" s="579"/>
      <c r="UU479" s="579"/>
      <c r="UV479" s="579"/>
      <c r="UW479" s="579"/>
      <c r="UX479" s="579"/>
      <c r="UY479" s="579"/>
      <c r="UZ479" s="579"/>
      <c r="VA479" s="579"/>
      <c r="VB479" s="579"/>
      <c r="VC479" s="579"/>
      <c r="VD479" s="579"/>
      <c r="VE479" s="579"/>
      <c r="VF479" s="579"/>
      <c r="VG479" s="579"/>
      <c r="VH479" s="579"/>
      <c r="VI479" s="579"/>
      <c r="VJ479" s="579"/>
      <c r="VK479" s="579"/>
      <c r="VL479" s="579"/>
      <c r="VM479" s="579"/>
      <c r="VN479" s="579"/>
      <c r="VO479" s="579"/>
      <c r="VP479" s="579"/>
      <c r="VQ479" s="579"/>
      <c r="VR479" s="579"/>
      <c r="VS479" s="579"/>
      <c r="VT479" s="579"/>
      <c r="VU479" s="579"/>
      <c r="VV479" s="579"/>
      <c r="VW479" s="579"/>
      <c r="VX479" s="579"/>
      <c r="VY479" s="579"/>
      <c r="VZ479" s="579"/>
      <c r="WA479" s="579"/>
      <c r="WB479" s="579"/>
      <c r="WC479" s="579"/>
      <c r="WD479" s="579"/>
      <c r="WE479" s="579"/>
      <c r="WF479" s="579"/>
      <c r="WG479" s="579"/>
      <c r="WH479" s="579"/>
      <c r="WI479" s="579"/>
      <c r="WJ479" s="579"/>
      <c r="WK479" s="579"/>
      <c r="WL479" s="579"/>
      <c r="WM479" s="579"/>
      <c r="WN479" s="579"/>
      <c r="WO479" s="579"/>
      <c r="WP479" s="579"/>
      <c r="WQ479" s="579"/>
      <c r="WR479" s="579"/>
      <c r="WS479" s="579"/>
      <c r="WT479" s="579"/>
      <c r="WU479" s="579"/>
      <c r="WV479" s="579"/>
      <c r="WW479" s="579"/>
      <c r="WX479" s="579"/>
      <c r="WY479" s="579"/>
      <c r="WZ479" s="579"/>
      <c r="XA479" s="579"/>
      <c r="XB479" s="579"/>
      <c r="XC479" s="579"/>
      <c r="XD479" s="579"/>
      <c r="XE479" s="579"/>
      <c r="XF479" s="579"/>
      <c r="XG479" s="579"/>
      <c r="XH479" s="579"/>
      <c r="XI479" s="579"/>
      <c r="XJ479" s="579"/>
      <c r="XK479" s="579"/>
      <c r="XL479" s="579"/>
      <c r="XM479" s="579"/>
      <c r="XN479" s="579"/>
      <c r="XO479" s="579"/>
      <c r="XP479" s="579"/>
      <c r="XQ479" s="579"/>
      <c r="XR479" s="579"/>
      <c r="XS479" s="579"/>
      <c r="XT479" s="579"/>
      <c r="XU479" s="579"/>
      <c r="XV479" s="579"/>
      <c r="XW479" s="579"/>
      <c r="XX479" s="579"/>
      <c r="XY479" s="579"/>
      <c r="XZ479" s="579"/>
      <c r="YA479" s="579"/>
      <c r="YB479" s="579"/>
      <c r="YC479" s="579"/>
      <c r="YD479" s="579"/>
      <c r="YE479" s="579"/>
      <c r="YF479" s="579"/>
      <c r="YG479" s="579"/>
      <c r="YH479" s="579"/>
      <c r="YI479" s="579"/>
      <c r="YJ479" s="579"/>
      <c r="YK479" s="579"/>
      <c r="YL479" s="579"/>
      <c r="YM479" s="579"/>
      <c r="YN479" s="579"/>
      <c r="YO479" s="579"/>
      <c r="YP479" s="579"/>
      <c r="YQ479" s="579"/>
      <c r="YR479" s="579"/>
      <c r="YS479" s="579"/>
      <c r="YT479" s="579"/>
      <c r="YU479" s="579"/>
      <c r="YV479" s="579"/>
      <c r="YW479" s="579"/>
      <c r="YX479" s="579"/>
      <c r="YY479" s="579"/>
      <c r="YZ479" s="579"/>
      <c r="ZA479" s="579"/>
      <c r="ZB479" s="579"/>
      <c r="ZC479" s="579"/>
      <c r="ZD479" s="579"/>
      <c r="ZE479" s="579"/>
      <c r="ZF479" s="579"/>
      <c r="ZG479" s="579"/>
      <c r="ZH479" s="579"/>
      <c r="ZI479" s="579"/>
      <c r="ZJ479" s="579"/>
      <c r="ZK479" s="579"/>
      <c r="ZL479" s="579"/>
      <c r="ZM479" s="579"/>
      <c r="ZN479" s="579"/>
      <c r="ZO479" s="579"/>
      <c r="ZP479" s="579"/>
      <c r="ZQ479" s="579"/>
      <c r="ZR479" s="579"/>
      <c r="ZS479" s="579"/>
      <c r="ZT479" s="579"/>
      <c r="ZU479" s="579"/>
      <c r="ZV479" s="579"/>
      <c r="ZW479" s="579"/>
      <c r="ZX479" s="579"/>
      <c r="ZY479" s="579"/>
      <c r="ZZ479" s="579"/>
      <c r="AAA479" s="579"/>
      <c r="AAB479" s="579"/>
      <c r="AAC479" s="579"/>
      <c r="AAD479" s="579"/>
      <c r="AAE479" s="579"/>
      <c r="AAF479" s="579"/>
      <c r="AAG479" s="579"/>
      <c r="AAH479" s="579"/>
      <c r="AAI479" s="579"/>
      <c r="AAJ479" s="579"/>
      <c r="AAK479" s="579"/>
      <c r="AAL479" s="579"/>
      <c r="AAM479" s="579"/>
      <c r="AAN479" s="579"/>
      <c r="AAO479" s="579"/>
      <c r="AAP479" s="579"/>
      <c r="AAQ479" s="579"/>
      <c r="AAR479" s="579"/>
      <c r="AAS479" s="579"/>
      <c r="AAT479" s="579"/>
      <c r="AAU479" s="579"/>
      <c r="AAV479" s="579"/>
      <c r="AAW479" s="579"/>
      <c r="AAX479" s="579"/>
      <c r="AAY479" s="579"/>
      <c r="AAZ479" s="579"/>
      <c r="ABA479" s="579"/>
      <c r="ABB479" s="579"/>
      <c r="ABC479" s="579"/>
      <c r="ABD479" s="579"/>
      <c r="ABE479" s="579"/>
      <c r="ABF479" s="579"/>
      <c r="ABG479" s="579"/>
    </row>
    <row r="480" spans="1:735" s="246" customFormat="1" ht="30" customHeight="1" thickBot="1" x14ac:dyDescent="0.35">
      <c r="A480" s="230"/>
      <c r="B480" s="139" t="s">
        <v>334</v>
      </c>
      <c r="C480" s="242">
        <f>SUM(C481:C484)</f>
        <v>10752956</v>
      </c>
      <c r="D480" s="242">
        <f>SUM(D481:D484)</f>
        <v>9451752</v>
      </c>
      <c r="E480" s="242"/>
      <c r="F480" s="705"/>
      <c r="G480" s="571"/>
      <c r="H480" s="181"/>
      <c r="I480" s="181"/>
      <c r="J480" s="14">
        <v>3471971.58</v>
      </c>
      <c r="K480" s="220"/>
      <c r="L480" s="220"/>
      <c r="M480" s="220"/>
      <c r="N480" s="220"/>
      <c r="O480" s="220"/>
      <c r="P480" s="220"/>
      <c r="Q480" s="220"/>
      <c r="R480" s="220"/>
      <c r="S480" s="220"/>
      <c r="T480" s="220"/>
      <c r="U480" s="220"/>
      <c r="V480" s="220"/>
      <c r="W480" s="220"/>
      <c r="X480" s="220"/>
      <c r="Y480" s="220"/>
      <c r="Z480" s="220"/>
      <c r="AA480" s="220"/>
      <c r="AB480" s="220"/>
      <c r="AC480" s="220"/>
      <c r="AD480" s="220"/>
      <c r="AE480" s="220"/>
      <c r="AF480" s="220"/>
      <c r="AG480" s="220"/>
      <c r="AH480" s="220"/>
      <c r="AI480" s="220"/>
      <c r="AJ480" s="220"/>
      <c r="AK480" s="220"/>
      <c r="AL480" s="220"/>
      <c r="AM480" s="220"/>
      <c r="AN480" s="220"/>
      <c r="AO480" s="220"/>
      <c r="AP480" s="220"/>
      <c r="AQ480" s="220"/>
      <c r="AR480" s="220"/>
      <c r="AS480" s="220"/>
      <c r="AT480" s="220"/>
      <c r="AU480" s="220"/>
      <c r="AV480" s="220"/>
      <c r="AW480" s="220"/>
      <c r="AX480" s="220"/>
      <c r="AY480" s="220"/>
      <c r="AZ480" s="220"/>
      <c r="BA480" s="220"/>
      <c r="BB480" s="220"/>
      <c r="BC480" s="220"/>
      <c r="BD480" s="220"/>
      <c r="BE480" s="220"/>
      <c r="BF480" s="220"/>
      <c r="BG480" s="220"/>
      <c r="BH480" s="220"/>
      <c r="BI480" s="220"/>
      <c r="BJ480" s="220"/>
      <c r="BK480" s="220"/>
      <c r="BL480" s="220"/>
      <c r="BM480" s="220"/>
      <c r="BN480" s="220"/>
      <c r="BO480" s="220"/>
      <c r="BP480" s="220"/>
      <c r="BQ480" s="220"/>
      <c r="BR480" s="220"/>
      <c r="BS480" s="220"/>
      <c r="BT480" s="220"/>
      <c r="BU480" s="220"/>
      <c r="BV480" s="220"/>
      <c r="BW480" s="220"/>
      <c r="BX480" s="220"/>
      <c r="BY480" s="220"/>
      <c r="BZ480" s="220"/>
      <c r="CA480" s="220"/>
      <c r="CB480" s="220"/>
      <c r="CC480" s="220"/>
      <c r="CD480" s="220"/>
      <c r="CE480" s="220"/>
      <c r="CF480" s="220"/>
      <c r="CG480" s="220"/>
      <c r="CH480" s="220"/>
      <c r="CI480" s="220"/>
      <c r="CJ480" s="220"/>
      <c r="CK480" s="220"/>
      <c r="CL480" s="220"/>
      <c r="CM480" s="220"/>
      <c r="CN480" s="220"/>
      <c r="CO480" s="220"/>
      <c r="CP480" s="220"/>
      <c r="CQ480" s="220"/>
      <c r="CR480" s="220"/>
      <c r="CS480" s="220"/>
      <c r="CT480" s="220"/>
      <c r="CU480" s="220"/>
      <c r="CV480" s="220"/>
      <c r="CW480" s="220"/>
      <c r="CX480" s="220"/>
      <c r="CY480" s="220"/>
      <c r="CZ480" s="220"/>
      <c r="DA480" s="220"/>
      <c r="DB480" s="220"/>
      <c r="DC480" s="220"/>
      <c r="DD480" s="220"/>
      <c r="DE480" s="220"/>
      <c r="DF480" s="220"/>
      <c r="DG480" s="220"/>
      <c r="DH480" s="220"/>
      <c r="DI480" s="220"/>
      <c r="DJ480" s="220"/>
      <c r="DK480" s="220"/>
      <c r="DL480" s="220"/>
      <c r="DM480" s="220"/>
      <c r="DN480" s="220"/>
      <c r="DO480" s="220"/>
      <c r="DP480" s="220"/>
      <c r="DQ480" s="220"/>
      <c r="DR480" s="220"/>
      <c r="DS480" s="220"/>
      <c r="DT480" s="220"/>
      <c r="DU480" s="220"/>
      <c r="DV480" s="220"/>
      <c r="DW480" s="220"/>
      <c r="DX480" s="220"/>
      <c r="DY480" s="220"/>
      <c r="DZ480" s="220"/>
      <c r="EA480" s="220"/>
      <c r="EB480" s="220"/>
      <c r="EC480" s="220"/>
      <c r="ED480" s="220"/>
      <c r="EE480" s="220"/>
      <c r="EF480" s="220"/>
      <c r="EG480" s="220"/>
      <c r="EH480" s="220"/>
      <c r="EI480" s="220"/>
      <c r="EJ480" s="220"/>
      <c r="EK480" s="220"/>
      <c r="EL480" s="220"/>
      <c r="EM480" s="220"/>
      <c r="EN480" s="220"/>
      <c r="EO480" s="220"/>
      <c r="EP480" s="220"/>
      <c r="EQ480" s="220"/>
      <c r="ER480" s="220"/>
      <c r="ES480" s="220"/>
      <c r="ET480" s="220"/>
      <c r="EU480" s="220"/>
      <c r="EV480" s="220"/>
      <c r="EW480" s="220"/>
      <c r="EX480" s="220"/>
      <c r="EY480" s="220"/>
      <c r="EZ480" s="220"/>
      <c r="FA480" s="220"/>
      <c r="FB480" s="220"/>
      <c r="FC480" s="220"/>
      <c r="FD480" s="220"/>
      <c r="FE480" s="220"/>
      <c r="FF480" s="220"/>
      <c r="FG480" s="220"/>
      <c r="FH480" s="220"/>
      <c r="FI480" s="220"/>
      <c r="FJ480" s="220"/>
      <c r="FK480" s="220"/>
      <c r="FL480" s="220"/>
      <c r="FM480" s="220"/>
      <c r="FN480" s="220"/>
      <c r="FO480" s="220"/>
      <c r="FP480" s="220"/>
      <c r="FQ480" s="220"/>
      <c r="FR480" s="220"/>
      <c r="FS480" s="220"/>
      <c r="FT480" s="220"/>
      <c r="FU480" s="220"/>
      <c r="FV480" s="220"/>
      <c r="FW480" s="220"/>
      <c r="FX480" s="220"/>
      <c r="FY480" s="220"/>
      <c r="FZ480" s="220"/>
      <c r="GA480" s="220"/>
      <c r="GB480" s="220"/>
      <c r="GC480" s="220"/>
      <c r="GD480" s="220"/>
      <c r="GE480" s="220"/>
      <c r="GF480" s="220"/>
      <c r="GG480" s="220"/>
      <c r="GH480" s="220"/>
      <c r="GI480" s="220"/>
      <c r="GJ480" s="220"/>
      <c r="GK480" s="220"/>
      <c r="GL480" s="220"/>
      <c r="GM480" s="220"/>
      <c r="GN480" s="220"/>
      <c r="GO480" s="220"/>
      <c r="GP480" s="220"/>
      <c r="GQ480" s="220"/>
      <c r="GR480" s="220"/>
      <c r="GS480" s="220"/>
      <c r="GT480" s="220"/>
      <c r="GU480" s="220"/>
      <c r="GV480" s="220"/>
      <c r="GW480" s="220"/>
      <c r="GX480" s="220"/>
      <c r="GY480" s="220"/>
      <c r="GZ480" s="220"/>
      <c r="HA480" s="220"/>
      <c r="HB480" s="220"/>
      <c r="HC480" s="220"/>
      <c r="HD480" s="220"/>
      <c r="HE480" s="220"/>
      <c r="HF480" s="220"/>
      <c r="HG480" s="220"/>
      <c r="HH480" s="220"/>
      <c r="HI480" s="220"/>
      <c r="HJ480" s="220"/>
      <c r="HK480" s="220"/>
      <c r="HL480" s="220"/>
      <c r="HM480" s="220"/>
      <c r="HN480" s="220"/>
      <c r="HO480" s="220"/>
      <c r="HP480" s="220"/>
      <c r="HQ480" s="220"/>
      <c r="HR480" s="220"/>
      <c r="HS480" s="220"/>
      <c r="HT480" s="220"/>
      <c r="HU480" s="220"/>
      <c r="HV480" s="220"/>
      <c r="HW480" s="220"/>
      <c r="HX480" s="220"/>
      <c r="HY480" s="220"/>
      <c r="HZ480" s="220"/>
      <c r="IA480" s="220"/>
      <c r="IB480" s="220"/>
      <c r="IC480" s="220"/>
      <c r="ID480" s="220"/>
      <c r="IE480" s="220"/>
      <c r="IF480" s="220"/>
      <c r="IG480" s="220"/>
      <c r="IH480" s="220"/>
      <c r="II480" s="220"/>
      <c r="IJ480" s="220"/>
      <c r="IK480" s="220"/>
      <c r="IL480" s="220"/>
      <c r="IM480" s="220"/>
      <c r="IN480" s="220"/>
      <c r="IO480" s="220"/>
      <c r="IP480" s="220"/>
      <c r="IQ480" s="220"/>
      <c r="IR480" s="220"/>
      <c r="IS480" s="220"/>
      <c r="IT480" s="220"/>
      <c r="IU480" s="220"/>
      <c r="IV480" s="220"/>
      <c r="IW480" s="220"/>
      <c r="IX480" s="220"/>
      <c r="IY480" s="220"/>
      <c r="IZ480" s="220"/>
      <c r="JA480" s="220"/>
      <c r="JB480" s="220"/>
      <c r="JC480" s="220"/>
      <c r="JD480" s="220"/>
      <c r="JE480" s="220"/>
      <c r="JF480" s="220"/>
      <c r="JG480" s="220"/>
      <c r="JH480" s="220"/>
      <c r="JI480" s="220"/>
      <c r="JJ480" s="220"/>
      <c r="JK480" s="220"/>
      <c r="JL480" s="220"/>
      <c r="JM480" s="220"/>
      <c r="JN480" s="220"/>
      <c r="JO480" s="220"/>
      <c r="JP480" s="220"/>
      <c r="JQ480" s="220"/>
      <c r="JR480" s="220"/>
      <c r="JS480" s="220"/>
      <c r="JT480" s="220"/>
      <c r="JU480" s="220"/>
      <c r="JV480" s="220"/>
      <c r="JW480" s="220"/>
      <c r="JX480" s="220"/>
      <c r="JY480" s="220"/>
      <c r="JZ480" s="220"/>
      <c r="KA480" s="220"/>
      <c r="KB480" s="220"/>
      <c r="KC480" s="220"/>
      <c r="KD480" s="220"/>
      <c r="KE480" s="220"/>
      <c r="KF480" s="220"/>
      <c r="KG480" s="220"/>
      <c r="KH480" s="220"/>
      <c r="KI480" s="220"/>
      <c r="KJ480" s="220"/>
      <c r="KK480" s="220"/>
      <c r="KL480" s="220"/>
      <c r="KM480" s="220"/>
      <c r="KN480" s="220"/>
      <c r="KO480" s="220"/>
      <c r="KP480" s="220"/>
      <c r="KQ480" s="220"/>
      <c r="KR480" s="220"/>
      <c r="KS480" s="220"/>
      <c r="KT480" s="220"/>
      <c r="KU480" s="220"/>
      <c r="KV480" s="220"/>
      <c r="KW480" s="220"/>
      <c r="KX480" s="220"/>
      <c r="KY480" s="220"/>
      <c r="KZ480" s="220"/>
      <c r="LA480" s="220"/>
      <c r="LB480" s="220"/>
      <c r="LC480" s="220"/>
      <c r="LD480" s="220"/>
      <c r="LE480" s="220"/>
      <c r="LF480" s="220"/>
      <c r="LG480" s="220"/>
      <c r="LH480" s="220"/>
      <c r="LI480" s="220"/>
      <c r="LJ480" s="220"/>
      <c r="LK480" s="220"/>
      <c r="LL480" s="220"/>
      <c r="LM480" s="220"/>
      <c r="LN480" s="220"/>
      <c r="LO480" s="220"/>
      <c r="LP480" s="220"/>
      <c r="LQ480" s="220"/>
      <c r="LR480" s="220"/>
      <c r="LS480" s="220"/>
      <c r="LT480" s="220"/>
      <c r="LU480" s="220"/>
      <c r="LV480" s="220"/>
      <c r="LW480" s="220"/>
      <c r="LX480" s="220"/>
      <c r="LY480" s="220"/>
      <c r="LZ480" s="220"/>
      <c r="MA480" s="220"/>
      <c r="MB480" s="220"/>
      <c r="MC480" s="220"/>
      <c r="MD480" s="220"/>
      <c r="ME480" s="220"/>
      <c r="MF480" s="220"/>
      <c r="MG480" s="220"/>
      <c r="MH480" s="220"/>
      <c r="MI480" s="220"/>
      <c r="MJ480" s="220"/>
      <c r="MK480" s="220"/>
      <c r="ML480" s="220"/>
      <c r="MM480" s="220"/>
      <c r="MN480" s="220"/>
      <c r="MO480" s="220"/>
      <c r="MP480" s="220"/>
      <c r="MQ480" s="220"/>
      <c r="MR480" s="220"/>
      <c r="MS480" s="220"/>
      <c r="MT480" s="220"/>
      <c r="MU480" s="220"/>
      <c r="MV480" s="220"/>
      <c r="MW480" s="220"/>
      <c r="MX480" s="220"/>
      <c r="MY480" s="220"/>
      <c r="MZ480" s="220"/>
      <c r="NA480" s="220"/>
      <c r="NB480" s="220"/>
      <c r="NC480" s="220"/>
      <c r="ND480" s="220"/>
      <c r="NE480" s="220"/>
      <c r="NF480" s="220"/>
      <c r="NG480" s="220"/>
      <c r="NH480" s="220"/>
      <c r="NI480" s="220"/>
      <c r="NJ480" s="220"/>
      <c r="NK480" s="220"/>
      <c r="NL480" s="220"/>
      <c r="NM480" s="220"/>
      <c r="NN480" s="220"/>
      <c r="NO480" s="220"/>
      <c r="NP480" s="220"/>
      <c r="NQ480" s="220"/>
      <c r="NR480" s="220"/>
      <c r="NS480" s="220"/>
      <c r="NT480" s="220"/>
      <c r="NU480" s="220"/>
      <c r="NV480" s="220"/>
      <c r="NW480" s="220"/>
      <c r="NX480" s="220"/>
      <c r="NY480" s="220"/>
      <c r="NZ480" s="220"/>
      <c r="OA480" s="220"/>
      <c r="OB480" s="220"/>
      <c r="OC480" s="220"/>
      <c r="OD480" s="220"/>
      <c r="OE480" s="220"/>
      <c r="OF480" s="220"/>
      <c r="OG480" s="220"/>
      <c r="OH480" s="220"/>
      <c r="OI480" s="220"/>
      <c r="OJ480" s="220"/>
      <c r="OK480" s="220"/>
      <c r="OL480" s="220"/>
      <c r="OM480" s="220"/>
      <c r="ON480" s="220"/>
      <c r="OO480" s="220"/>
      <c r="OP480" s="220"/>
      <c r="OQ480" s="220"/>
      <c r="OR480" s="220"/>
      <c r="OS480" s="220"/>
      <c r="OT480" s="220"/>
      <c r="OU480" s="220"/>
      <c r="OV480" s="220"/>
      <c r="OW480" s="220"/>
      <c r="OX480" s="220"/>
      <c r="OY480" s="220"/>
      <c r="OZ480" s="220"/>
      <c r="PA480" s="220"/>
      <c r="PB480" s="220"/>
      <c r="PC480" s="220"/>
      <c r="PD480" s="220"/>
      <c r="PE480" s="220"/>
      <c r="PF480" s="220"/>
      <c r="PG480" s="220"/>
      <c r="PH480" s="220"/>
      <c r="PI480" s="220"/>
      <c r="PJ480" s="220"/>
      <c r="PK480" s="220"/>
      <c r="PL480" s="220"/>
      <c r="PM480" s="220"/>
      <c r="PN480" s="220"/>
      <c r="PO480" s="220"/>
      <c r="PP480" s="220"/>
      <c r="PQ480" s="220"/>
      <c r="PR480" s="220"/>
      <c r="PS480" s="220"/>
      <c r="PT480" s="220"/>
      <c r="PU480" s="220"/>
      <c r="PV480" s="220"/>
      <c r="PW480" s="220"/>
      <c r="PX480" s="220"/>
      <c r="PY480" s="220"/>
      <c r="PZ480" s="220"/>
      <c r="QA480" s="220"/>
      <c r="QB480" s="220"/>
      <c r="QC480" s="220"/>
      <c r="QD480" s="220"/>
      <c r="QE480" s="220"/>
      <c r="QF480" s="220"/>
      <c r="QG480" s="220"/>
      <c r="QH480" s="220"/>
      <c r="QI480" s="220"/>
      <c r="QJ480" s="220"/>
      <c r="QK480" s="220"/>
      <c r="QL480" s="220"/>
      <c r="QM480" s="220"/>
      <c r="QN480" s="220"/>
      <c r="QO480" s="220"/>
      <c r="QP480" s="220"/>
      <c r="QQ480" s="220"/>
      <c r="QR480" s="220"/>
      <c r="QS480" s="220"/>
      <c r="QT480" s="220"/>
      <c r="QU480" s="220"/>
      <c r="QV480" s="220"/>
      <c r="QW480" s="220"/>
      <c r="QX480" s="220"/>
      <c r="QY480" s="220"/>
      <c r="QZ480" s="220"/>
      <c r="RA480" s="220"/>
      <c r="RB480" s="220"/>
      <c r="RC480" s="220"/>
      <c r="RD480" s="220"/>
      <c r="RE480" s="220"/>
      <c r="RF480" s="220"/>
      <c r="RG480" s="220"/>
      <c r="RH480" s="220"/>
      <c r="RI480" s="220"/>
      <c r="RJ480" s="220"/>
      <c r="RK480" s="220"/>
      <c r="RL480" s="220"/>
      <c r="RM480" s="220"/>
      <c r="RN480" s="220"/>
      <c r="RO480" s="220"/>
      <c r="RP480" s="220"/>
      <c r="RQ480" s="220"/>
      <c r="RR480" s="220"/>
      <c r="RS480" s="220"/>
      <c r="RT480" s="220"/>
      <c r="RU480" s="220"/>
      <c r="RV480" s="220"/>
      <c r="RW480" s="220"/>
      <c r="RX480" s="220"/>
      <c r="RY480" s="220"/>
      <c r="RZ480" s="220"/>
      <c r="SA480" s="220"/>
      <c r="SB480" s="220"/>
      <c r="SC480" s="220"/>
      <c r="SD480" s="220"/>
      <c r="SE480" s="220"/>
      <c r="SF480" s="220"/>
      <c r="SG480" s="220"/>
      <c r="SH480" s="220"/>
      <c r="SI480" s="220"/>
      <c r="SJ480" s="220"/>
      <c r="SK480" s="220"/>
      <c r="SL480" s="220"/>
      <c r="SM480" s="220"/>
      <c r="SN480" s="220"/>
      <c r="SO480" s="220"/>
      <c r="SP480" s="220"/>
      <c r="SQ480" s="220"/>
      <c r="SR480" s="220"/>
      <c r="SS480" s="220"/>
      <c r="ST480" s="220"/>
      <c r="SU480" s="220"/>
      <c r="SV480" s="220"/>
      <c r="SW480" s="220"/>
      <c r="SX480" s="220"/>
      <c r="SY480" s="220"/>
      <c r="SZ480" s="220"/>
      <c r="TA480" s="220"/>
      <c r="TB480" s="220"/>
      <c r="TC480" s="220"/>
      <c r="TD480" s="220"/>
      <c r="TE480" s="220"/>
      <c r="TF480" s="220"/>
      <c r="TG480" s="220"/>
      <c r="TH480" s="220"/>
      <c r="TI480" s="220"/>
      <c r="TJ480" s="220"/>
      <c r="TK480" s="220"/>
      <c r="TL480" s="220"/>
      <c r="TM480" s="220"/>
      <c r="TN480" s="220"/>
      <c r="TO480" s="220"/>
      <c r="TP480" s="220"/>
      <c r="TQ480" s="220"/>
      <c r="TR480" s="220"/>
      <c r="TS480" s="220"/>
      <c r="TT480" s="220"/>
      <c r="TU480" s="220"/>
      <c r="TV480" s="220"/>
      <c r="TW480" s="220"/>
      <c r="TX480" s="220"/>
      <c r="TY480" s="220"/>
      <c r="TZ480" s="220"/>
      <c r="UA480" s="220"/>
      <c r="UB480" s="220"/>
      <c r="UC480" s="220"/>
      <c r="UD480" s="220"/>
      <c r="UE480" s="220"/>
      <c r="UF480" s="220"/>
      <c r="UG480" s="220"/>
      <c r="UH480" s="220"/>
      <c r="UI480" s="220"/>
      <c r="UJ480" s="220"/>
      <c r="UK480" s="220"/>
      <c r="UL480" s="220"/>
      <c r="UM480" s="220"/>
      <c r="UN480" s="220"/>
      <c r="UO480" s="220"/>
      <c r="UP480" s="220"/>
      <c r="UQ480" s="220"/>
      <c r="UR480" s="220"/>
      <c r="US480" s="220"/>
      <c r="UT480" s="220"/>
      <c r="UU480" s="220"/>
      <c r="UV480" s="220"/>
      <c r="UW480" s="220"/>
      <c r="UX480" s="220"/>
      <c r="UY480" s="220"/>
      <c r="UZ480" s="220"/>
      <c r="VA480" s="220"/>
      <c r="VB480" s="220"/>
      <c r="VC480" s="220"/>
      <c r="VD480" s="220"/>
      <c r="VE480" s="220"/>
      <c r="VF480" s="220"/>
      <c r="VG480" s="220"/>
      <c r="VH480" s="220"/>
      <c r="VI480" s="220"/>
      <c r="VJ480" s="220"/>
      <c r="VK480" s="220"/>
      <c r="VL480" s="220"/>
      <c r="VM480" s="220"/>
      <c r="VN480" s="220"/>
      <c r="VO480" s="220"/>
      <c r="VP480" s="220"/>
      <c r="VQ480" s="220"/>
      <c r="VR480" s="220"/>
      <c r="VS480" s="220"/>
      <c r="VT480" s="220"/>
      <c r="VU480" s="220"/>
      <c r="VV480" s="220"/>
      <c r="VW480" s="220"/>
      <c r="VX480" s="220"/>
      <c r="VY480" s="220"/>
      <c r="VZ480" s="220"/>
      <c r="WA480" s="220"/>
      <c r="WB480" s="220"/>
      <c r="WC480" s="220"/>
      <c r="WD480" s="220"/>
      <c r="WE480" s="220"/>
      <c r="WF480" s="220"/>
      <c r="WG480" s="220"/>
      <c r="WH480" s="220"/>
      <c r="WI480" s="220"/>
      <c r="WJ480" s="220"/>
      <c r="WK480" s="220"/>
      <c r="WL480" s="220"/>
      <c r="WM480" s="220"/>
      <c r="WN480" s="220"/>
      <c r="WO480" s="220"/>
      <c r="WP480" s="220"/>
      <c r="WQ480" s="220"/>
      <c r="WR480" s="220"/>
      <c r="WS480" s="220"/>
      <c r="WT480" s="220"/>
      <c r="WU480" s="220"/>
      <c r="WV480" s="220"/>
      <c r="WW480" s="220"/>
      <c r="WX480" s="220"/>
      <c r="WY480" s="220"/>
      <c r="WZ480" s="220"/>
      <c r="XA480" s="220"/>
      <c r="XB480" s="220"/>
      <c r="XC480" s="220"/>
      <c r="XD480" s="220"/>
      <c r="XE480" s="220"/>
      <c r="XF480" s="220"/>
      <c r="XG480" s="220"/>
      <c r="XH480" s="220"/>
      <c r="XI480" s="220"/>
      <c r="XJ480" s="220"/>
      <c r="XK480" s="220"/>
      <c r="XL480" s="220"/>
      <c r="XM480" s="220"/>
      <c r="XN480" s="220"/>
      <c r="XO480" s="220"/>
      <c r="XP480" s="220"/>
      <c r="XQ480" s="220"/>
      <c r="XR480" s="220"/>
      <c r="XS480" s="220"/>
      <c r="XT480" s="220"/>
      <c r="XU480" s="220"/>
      <c r="XV480" s="220"/>
      <c r="XW480" s="220"/>
      <c r="XX480" s="220"/>
      <c r="XY480" s="220"/>
      <c r="XZ480" s="220"/>
      <c r="YA480" s="220"/>
      <c r="YB480" s="220"/>
      <c r="YC480" s="220"/>
      <c r="YD480" s="220"/>
      <c r="YE480" s="220"/>
      <c r="YF480" s="220"/>
      <c r="YG480" s="220"/>
      <c r="YH480" s="220"/>
      <c r="YI480" s="220"/>
      <c r="YJ480" s="220"/>
      <c r="YK480" s="220"/>
      <c r="YL480" s="220"/>
      <c r="YM480" s="220"/>
      <c r="YN480" s="220"/>
      <c r="YO480" s="220"/>
      <c r="YP480" s="220"/>
      <c r="YQ480" s="220"/>
      <c r="YR480" s="220"/>
      <c r="YS480" s="220"/>
      <c r="YT480" s="220"/>
      <c r="YU480" s="220"/>
      <c r="YV480" s="220"/>
      <c r="YW480" s="220"/>
      <c r="YX480" s="220"/>
      <c r="YY480" s="220"/>
      <c r="YZ480" s="220"/>
      <c r="ZA480" s="220"/>
      <c r="ZB480" s="220"/>
      <c r="ZC480" s="220"/>
      <c r="ZD480" s="220"/>
      <c r="ZE480" s="220"/>
      <c r="ZF480" s="220"/>
      <c r="ZG480" s="220"/>
      <c r="ZH480" s="220"/>
      <c r="ZI480" s="220"/>
      <c r="ZJ480" s="220"/>
      <c r="ZK480" s="220"/>
      <c r="ZL480" s="220"/>
      <c r="ZM480" s="220"/>
      <c r="ZN480" s="220"/>
      <c r="ZO480" s="220"/>
      <c r="ZP480" s="220"/>
      <c r="ZQ480" s="220"/>
      <c r="ZR480" s="220"/>
      <c r="ZS480" s="220"/>
      <c r="ZT480" s="220"/>
      <c r="ZU480" s="220"/>
      <c r="ZV480" s="220"/>
      <c r="ZW480" s="220"/>
      <c r="ZX480" s="220"/>
      <c r="ZY480" s="220"/>
      <c r="ZZ480" s="220"/>
      <c r="AAA480" s="220"/>
      <c r="AAB480" s="220"/>
      <c r="AAC480" s="220"/>
      <c r="AAD480" s="220"/>
      <c r="AAE480" s="220"/>
      <c r="AAF480" s="220"/>
      <c r="AAG480" s="220"/>
      <c r="AAH480" s="220"/>
      <c r="AAI480" s="220"/>
      <c r="AAJ480" s="220"/>
      <c r="AAK480" s="220"/>
      <c r="AAL480" s="220"/>
      <c r="AAM480" s="220"/>
      <c r="AAN480" s="220"/>
      <c r="AAO480" s="220"/>
      <c r="AAP480" s="220"/>
      <c r="AAQ480" s="220"/>
      <c r="AAR480" s="220"/>
      <c r="AAS480" s="220"/>
      <c r="AAT480" s="220"/>
      <c r="AAU480" s="220"/>
      <c r="AAV480" s="220"/>
      <c r="AAW480" s="220"/>
      <c r="AAX480" s="220"/>
      <c r="AAY480" s="220"/>
      <c r="AAZ480" s="220"/>
      <c r="ABA480" s="220"/>
      <c r="ABB480" s="220"/>
      <c r="ABC480" s="220"/>
      <c r="ABD480" s="220"/>
      <c r="ABE480" s="220"/>
      <c r="ABF480" s="220"/>
      <c r="ABG480" s="220"/>
    </row>
    <row r="481" spans="1:735" s="246" customFormat="1" ht="30" customHeight="1" x14ac:dyDescent="0.2">
      <c r="A481" s="248">
        <v>2141</v>
      </c>
      <c r="B481" s="175" t="s">
        <v>333</v>
      </c>
      <c r="C481" s="136">
        <v>1226000</v>
      </c>
      <c r="D481" s="136">
        <f>1226000-23327</f>
        <v>1202673</v>
      </c>
      <c r="E481" s="136"/>
      <c r="F481" s="133"/>
      <c r="G481" s="120"/>
      <c r="H481" s="120"/>
      <c r="I481" s="120"/>
      <c r="J481" s="6">
        <v>95968.25</v>
      </c>
      <c r="K481" s="220"/>
      <c r="L481" s="220"/>
      <c r="M481" s="220"/>
      <c r="N481" s="220"/>
      <c r="O481" s="220"/>
      <c r="P481" s="220"/>
      <c r="Q481" s="220"/>
      <c r="R481" s="220"/>
      <c r="S481" s="220"/>
      <c r="T481" s="220"/>
      <c r="U481" s="220"/>
      <c r="V481" s="220"/>
      <c r="W481" s="220"/>
      <c r="X481" s="220"/>
      <c r="Y481" s="220"/>
      <c r="Z481" s="220"/>
      <c r="AA481" s="220"/>
      <c r="AB481" s="220"/>
      <c r="AC481" s="220"/>
      <c r="AD481" s="220"/>
      <c r="AE481" s="220"/>
      <c r="AF481" s="220"/>
      <c r="AG481" s="220"/>
      <c r="AH481" s="220"/>
      <c r="AI481" s="220"/>
      <c r="AJ481" s="220"/>
      <c r="AK481" s="220"/>
      <c r="AL481" s="220"/>
      <c r="AM481" s="220"/>
      <c r="AN481" s="220"/>
      <c r="AO481" s="220"/>
      <c r="AP481" s="220"/>
      <c r="AQ481" s="220"/>
      <c r="AR481" s="220"/>
      <c r="AS481" s="220"/>
      <c r="AT481" s="220"/>
      <c r="AU481" s="220"/>
      <c r="AV481" s="220"/>
      <c r="AW481" s="220"/>
      <c r="AX481" s="220"/>
      <c r="AY481" s="220"/>
      <c r="AZ481" s="220"/>
      <c r="BA481" s="220"/>
      <c r="BB481" s="220"/>
      <c r="BC481" s="220"/>
      <c r="BD481" s="220"/>
      <c r="BE481" s="220"/>
      <c r="BF481" s="220"/>
      <c r="BG481" s="220"/>
      <c r="BH481" s="220"/>
      <c r="BI481" s="220"/>
      <c r="BJ481" s="220"/>
      <c r="BK481" s="220"/>
      <c r="BL481" s="220"/>
      <c r="BM481" s="220"/>
      <c r="BN481" s="220"/>
      <c r="BO481" s="220"/>
      <c r="BP481" s="220"/>
      <c r="BQ481" s="220"/>
      <c r="BR481" s="220"/>
      <c r="BS481" s="220"/>
      <c r="BT481" s="220"/>
      <c r="BU481" s="220"/>
      <c r="BV481" s="220"/>
      <c r="BW481" s="220"/>
      <c r="BX481" s="220"/>
      <c r="BY481" s="220"/>
      <c r="BZ481" s="220"/>
      <c r="CA481" s="220"/>
      <c r="CB481" s="220"/>
      <c r="CC481" s="220"/>
      <c r="CD481" s="220"/>
      <c r="CE481" s="220"/>
      <c r="CF481" s="220"/>
      <c r="CG481" s="220"/>
      <c r="CH481" s="220"/>
      <c r="CI481" s="220"/>
      <c r="CJ481" s="220"/>
      <c r="CK481" s="220"/>
      <c r="CL481" s="220"/>
      <c r="CM481" s="220"/>
      <c r="CN481" s="220"/>
      <c r="CO481" s="220"/>
      <c r="CP481" s="220"/>
      <c r="CQ481" s="220"/>
      <c r="CR481" s="220"/>
      <c r="CS481" s="220"/>
      <c r="CT481" s="220"/>
      <c r="CU481" s="220"/>
      <c r="CV481" s="220"/>
      <c r="CW481" s="220"/>
      <c r="CX481" s="220"/>
      <c r="CY481" s="220"/>
      <c r="CZ481" s="220"/>
      <c r="DA481" s="220"/>
      <c r="DB481" s="220"/>
      <c r="DC481" s="220"/>
      <c r="DD481" s="220"/>
      <c r="DE481" s="220"/>
      <c r="DF481" s="220"/>
      <c r="DG481" s="220"/>
      <c r="DH481" s="220"/>
      <c r="DI481" s="220"/>
      <c r="DJ481" s="220"/>
      <c r="DK481" s="220"/>
      <c r="DL481" s="220"/>
      <c r="DM481" s="220"/>
      <c r="DN481" s="220"/>
      <c r="DO481" s="220"/>
      <c r="DP481" s="220"/>
      <c r="DQ481" s="220"/>
      <c r="DR481" s="220"/>
      <c r="DS481" s="220"/>
      <c r="DT481" s="220"/>
      <c r="DU481" s="220"/>
      <c r="DV481" s="220"/>
      <c r="DW481" s="220"/>
      <c r="DX481" s="220"/>
      <c r="DY481" s="220"/>
      <c r="DZ481" s="220"/>
      <c r="EA481" s="220"/>
      <c r="EB481" s="220"/>
      <c r="EC481" s="220"/>
      <c r="ED481" s="220"/>
      <c r="EE481" s="220"/>
      <c r="EF481" s="220"/>
      <c r="EG481" s="220"/>
      <c r="EH481" s="220"/>
      <c r="EI481" s="220"/>
      <c r="EJ481" s="220"/>
      <c r="EK481" s="220"/>
      <c r="EL481" s="220"/>
      <c r="EM481" s="220"/>
      <c r="EN481" s="220"/>
      <c r="EO481" s="220"/>
      <c r="EP481" s="220"/>
      <c r="EQ481" s="220"/>
      <c r="ER481" s="220"/>
      <c r="ES481" s="220"/>
      <c r="ET481" s="220"/>
      <c r="EU481" s="220"/>
      <c r="EV481" s="220"/>
      <c r="EW481" s="220"/>
      <c r="EX481" s="220"/>
      <c r="EY481" s="220"/>
      <c r="EZ481" s="220"/>
      <c r="FA481" s="220"/>
      <c r="FB481" s="220"/>
      <c r="FC481" s="220"/>
      <c r="FD481" s="220"/>
      <c r="FE481" s="220"/>
      <c r="FF481" s="220"/>
      <c r="FG481" s="220"/>
      <c r="FH481" s="220"/>
      <c r="FI481" s="220"/>
      <c r="FJ481" s="220"/>
      <c r="FK481" s="220"/>
      <c r="FL481" s="220"/>
      <c r="FM481" s="220"/>
      <c r="FN481" s="220"/>
      <c r="FO481" s="220"/>
      <c r="FP481" s="220"/>
      <c r="FQ481" s="220"/>
      <c r="FR481" s="220"/>
      <c r="FS481" s="220"/>
      <c r="FT481" s="220"/>
      <c r="FU481" s="220"/>
      <c r="FV481" s="220"/>
      <c r="FW481" s="220"/>
      <c r="FX481" s="220"/>
      <c r="FY481" s="220"/>
      <c r="FZ481" s="220"/>
      <c r="GA481" s="220"/>
      <c r="GB481" s="220"/>
      <c r="GC481" s="220"/>
      <c r="GD481" s="220"/>
      <c r="GE481" s="220"/>
      <c r="GF481" s="220"/>
      <c r="GG481" s="220"/>
      <c r="GH481" s="220"/>
      <c r="GI481" s="220"/>
      <c r="GJ481" s="220"/>
      <c r="GK481" s="220"/>
      <c r="GL481" s="220"/>
      <c r="GM481" s="220"/>
      <c r="GN481" s="220"/>
      <c r="GO481" s="220"/>
      <c r="GP481" s="220"/>
      <c r="GQ481" s="220"/>
      <c r="GR481" s="220"/>
      <c r="GS481" s="220"/>
      <c r="GT481" s="220"/>
      <c r="GU481" s="220"/>
      <c r="GV481" s="220"/>
      <c r="GW481" s="220"/>
      <c r="GX481" s="220"/>
      <c r="GY481" s="220"/>
      <c r="GZ481" s="220"/>
      <c r="HA481" s="220"/>
      <c r="HB481" s="220"/>
      <c r="HC481" s="220"/>
      <c r="HD481" s="220"/>
      <c r="HE481" s="220"/>
      <c r="HF481" s="220"/>
      <c r="HG481" s="220"/>
      <c r="HH481" s="220"/>
      <c r="HI481" s="220"/>
      <c r="HJ481" s="220"/>
      <c r="HK481" s="220"/>
      <c r="HL481" s="220"/>
      <c r="HM481" s="220"/>
      <c r="HN481" s="220"/>
      <c r="HO481" s="220"/>
      <c r="HP481" s="220"/>
      <c r="HQ481" s="220"/>
      <c r="HR481" s="220"/>
      <c r="HS481" s="220"/>
      <c r="HT481" s="220"/>
      <c r="HU481" s="220"/>
      <c r="HV481" s="220"/>
      <c r="HW481" s="220"/>
      <c r="HX481" s="220"/>
      <c r="HY481" s="220"/>
      <c r="HZ481" s="220"/>
      <c r="IA481" s="220"/>
      <c r="IB481" s="220"/>
      <c r="IC481" s="220"/>
      <c r="ID481" s="220"/>
      <c r="IE481" s="220"/>
      <c r="IF481" s="220"/>
      <c r="IG481" s="220"/>
      <c r="IH481" s="220"/>
      <c r="II481" s="220"/>
      <c r="IJ481" s="220"/>
      <c r="IK481" s="220"/>
      <c r="IL481" s="220"/>
      <c r="IM481" s="220"/>
      <c r="IN481" s="220"/>
      <c r="IO481" s="220"/>
      <c r="IP481" s="220"/>
      <c r="IQ481" s="220"/>
      <c r="IR481" s="220"/>
      <c r="IS481" s="220"/>
      <c r="IT481" s="220"/>
      <c r="IU481" s="220"/>
      <c r="IV481" s="220"/>
      <c r="IW481" s="220"/>
      <c r="IX481" s="220"/>
      <c r="IY481" s="220"/>
      <c r="IZ481" s="220"/>
      <c r="JA481" s="220"/>
      <c r="JB481" s="220"/>
      <c r="JC481" s="220"/>
      <c r="JD481" s="220"/>
      <c r="JE481" s="220"/>
      <c r="JF481" s="220"/>
      <c r="JG481" s="220"/>
      <c r="JH481" s="220"/>
      <c r="JI481" s="220"/>
      <c r="JJ481" s="220"/>
      <c r="JK481" s="220"/>
      <c r="JL481" s="220"/>
      <c r="JM481" s="220"/>
      <c r="JN481" s="220"/>
      <c r="JO481" s="220"/>
      <c r="JP481" s="220"/>
      <c r="JQ481" s="220"/>
      <c r="JR481" s="220"/>
      <c r="JS481" s="220"/>
      <c r="JT481" s="220"/>
      <c r="JU481" s="220"/>
      <c r="JV481" s="220"/>
      <c r="JW481" s="220"/>
      <c r="JX481" s="220"/>
      <c r="JY481" s="220"/>
      <c r="JZ481" s="220"/>
      <c r="KA481" s="220"/>
      <c r="KB481" s="220"/>
      <c r="KC481" s="220"/>
      <c r="KD481" s="220"/>
      <c r="KE481" s="220"/>
      <c r="KF481" s="220"/>
      <c r="KG481" s="220"/>
      <c r="KH481" s="220"/>
      <c r="KI481" s="220"/>
      <c r="KJ481" s="220"/>
      <c r="KK481" s="220"/>
      <c r="KL481" s="220"/>
      <c r="KM481" s="220"/>
      <c r="KN481" s="220"/>
      <c r="KO481" s="220"/>
      <c r="KP481" s="220"/>
      <c r="KQ481" s="220"/>
      <c r="KR481" s="220"/>
      <c r="KS481" s="220"/>
      <c r="KT481" s="220"/>
      <c r="KU481" s="220"/>
      <c r="KV481" s="220"/>
      <c r="KW481" s="220"/>
      <c r="KX481" s="220"/>
      <c r="KY481" s="220"/>
      <c r="KZ481" s="220"/>
      <c r="LA481" s="220"/>
      <c r="LB481" s="220"/>
      <c r="LC481" s="220"/>
      <c r="LD481" s="220"/>
      <c r="LE481" s="220"/>
      <c r="LF481" s="220"/>
      <c r="LG481" s="220"/>
      <c r="LH481" s="220"/>
      <c r="LI481" s="220"/>
      <c r="LJ481" s="220"/>
      <c r="LK481" s="220"/>
      <c r="LL481" s="220"/>
      <c r="LM481" s="220"/>
      <c r="LN481" s="220"/>
      <c r="LO481" s="220"/>
      <c r="LP481" s="220"/>
      <c r="LQ481" s="220"/>
      <c r="LR481" s="220"/>
      <c r="LS481" s="220"/>
      <c r="LT481" s="220"/>
      <c r="LU481" s="220"/>
      <c r="LV481" s="220"/>
      <c r="LW481" s="220"/>
      <c r="LX481" s="220"/>
      <c r="LY481" s="220"/>
      <c r="LZ481" s="220"/>
      <c r="MA481" s="220"/>
      <c r="MB481" s="220"/>
      <c r="MC481" s="220"/>
      <c r="MD481" s="220"/>
      <c r="ME481" s="220"/>
      <c r="MF481" s="220"/>
      <c r="MG481" s="220"/>
      <c r="MH481" s="220"/>
      <c r="MI481" s="220"/>
      <c r="MJ481" s="220"/>
      <c r="MK481" s="220"/>
      <c r="ML481" s="220"/>
      <c r="MM481" s="220"/>
      <c r="MN481" s="220"/>
      <c r="MO481" s="220"/>
      <c r="MP481" s="220"/>
      <c r="MQ481" s="220"/>
      <c r="MR481" s="220"/>
      <c r="MS481" s="220"/>
      <c r="MT481" s="220"/>
      <c r="MU481" s="220"/>
      <c r="MV481" s="220"/>
      <c r="MW481" s="220"/>
      <c r="MX481" s="220"/>
      <c r="MY481" s="220"/>
      <c r="MZ481" s="220"/>
      <c r="NA481" s="220"/>
      <c r="NB481" s="220"/>
      <c r="NC481" s="220"/>
      <c r="ND481" s="220"/>
      <c r="NE481" s="220"/>
      <c r="NF481" s="220"/>
      <c r="NG481" s="220"/>
      <c r="NH481" s="220"/>
      <c r="NI481" s="220"/>
      <c r="NJ481" s="220"/>
      <c r="NK481" s="220"/>
      <c r="NL481" s="220"/>
      <c r="NM481" s="220"/>
      <c r="NN481" s="220"/>
      <c r="NO481" s="220"/>
      <c r="NP481" s="220"/>
      <c r="NQ481" s="220"/>
      <c r="NR481" s="220"/>
      <c r="NS481" s="220"/>
      <c r="NT481" s="220"/>
      <c r="NU481" s="220"/>
      <c r="NV481" s="220"/>
      <c r="NW481" s="220"/>
      <c r="NX481" s="220"/>
      <c r="NY481" s="220"/>
      <c r="NZ481" s="220"/>
      <c r="OA481" s="220"/>
      <c r="OB481" s="220"/>
      <c r="OC481" s="220"/>
      <c r="OD481" s="220"/>
      <c r="OE481" s="220"/>
      <c r="OF481" s="220"/>
      <c r="OG481" s="220"/>
      <c r="OH481" s="220"/>
      <c r="OI481" s="220"/>
      <c r="OJ481" s="220"/>
      <c r="OK481" s="220"/>
      <c r="OL481" s="220"/>
      <c r="OM481" s="220"/>
      <c r="ON481" s="220"/>
      <c r="OO481" s="220"/>
      <c r="OP481" s="220"/>
      <c r="OQ481" s="220"/>
      <c r="OR481" s="220"/>
      <c r="OS481" s="220"/>
      <c r="OT481" s="220"/>
      <c r="OU481" s="220"/>
      <c r="OV481" s="220"/>
      <c r="OW481" s="220"/>
      <c r="OX481" s="220"/>
      <c r="OY481" s="220"/>
      <c r="OZ481" s="220"/>
      <c r="PA481" s="220"/>
      <c r="PB481" s="220"/>
      <c r="PC481" s="220"/>
      <c r="PD481" s="220"/>
      <c r="PE481" s="220"/>
      <c r="PF481" s="220"/>
      <c r="PG481" s="220"/>
      <c r="PH481" s="220"/>
      <c r="PI481" s="220"/>
      <c r="PJ481" s="220"/>
      <c r="PK481" s="220"/>
      <c r="PL481" s="220"/>
      <c r="PM481" s="220"/>
      <c r="PN481" s="220"/>
      <c r="PO481" s="220"/>
      <c r="PP481" s="220"/>
      <c r="PQ481" s="220"/>
      <c r="PR481" s="220"/>
      <c r="PS481" s="220"/>
      <c r="PT481" s="220"/>
      <c r="PU481" s="220"/>
      <c r="PV481" s="220"/>
      <c r="PW481" s="220"/>
      <c r="PX481" s="220"/>
      <c r="PY481" s="220"/>
      <c r="PZ481" s="220"/>
      <c r="QA481" s="220"/>
      <c r="QB481" s="220"/>
      <c r="QC481" s="220"/>
      <c r="QD481" s="220"/>
      <c r="QE481" s="220"/>
      <c r="QF481" s="220"/>
      <c r="QG481" s="220"/>
      <c r="QH481" s="220"/>
      <c r="QI481" s="220"/>
      <c r="QJ481" s="220"/>
      <c r="QK481" s="220"/>
      <c r="QL481" s="220"/>
      <c r="QM481" s="220"/>
      <c r="QN481" s="220"/>
      <c r="QO481" s="220"/>
      <c r="QP481" s="220"/>
      <c r="QQ481" s="220"/>
      <c r="QR481" s="220"/>
      <c r="QS481" s="220"/>
      <c r="QT481" s="220"/>
      <c r="QU481" s="220"/>
      <c r="QV481" s="220"/>
      <c r="QW481" s="220"/>
      <c r="QX481" s="220"/>
      <c r="QY481" s="220"/>
      <c r="QZ481" s="220"/>
      <c r="RA481" s="220"/>
      <c r="RB481" s="220"/>
      <c r="RC481" s="220"/>
      <c r="RD481" s="220"/>
      <c r="RE481" s="220"/>
      <c r="RF481" s="220"/>
      <c r="RG481" s="220"/>
      <c r="RH481" s="220"/>
      <c r="RI481" s="220"/>
      <c r="RJ481" s="220"/>
      <c r="RK481" s="220"/>
      <c r="RL481" s="220"/>
      <c r="RM481" s="220"/>
      <c r="RN481" s="220"/>
      <c r="RO481" s="220"/>
      <c r="RP481" s="220"/>
      <c r="RQ481" s="220"/>
      <c r="RR481" s="220"/>
      <c r="RS481" s="220"/>
      <c r="RT481" s="220"/>
      <c r="RU481" s="220"/>
      <c r="RV481" s="220"/>
      <c r="RW481" s="220"/>
      <c r="RX481" s="220"/>
      <c r="RY481" s="220"/>
      <c r="RZ481" s="220"/>
      <c r="SA481" s="220"/>
      <c r="SB481" s="220"/>
      <c r="SC481" s="220"/>
      <c r="SD481" s="220"/>
      <c r="SE481" s="220"/>
      <c r="SF481" s="220"/>
      <c r="SG481" s="220"/>
      <c r="SH481" s="220"/>
      <c r="SI481" s="220"/>
      <c r="SJ481" s="220"/>
      <c r="SK481" s="220"/>
      <c r="SL481" s="220"/>
      <c r="SM481" s="220"/>
      <c r="SN481" s="220"/>
      <c r="SO481" s="220"/>
      <c r="SP481" s="220"/>
      <c r="SQ481" s="220"/>
      <c r="SR481" s="220"/>
      <c r="SS481" s="220"/>
      <c r="ST481" s="220"/>
      <c r="SU481" s="220"/>
      <c r="SV481" s="220"/>
      <c r="SW481" s="220"/>
      <c r="SX481" s="220"/>
      <c r="SY481" s="220"/>
      <c r="SZ481" s="220"/>
      <c r="TA481" s="220"/>
      <c r="TB481" s="220"/>
      <c r="TC481" s="220"/>
      <c r="TD481" s="220"/>
      <c r="TE481" s="220"/>
      <c r="TF481" s="220"/>
      <c r="TG481" s="220"/>
      <c r="TH481" s="220"/>
      <c r="TI481" s="220"/>
      <c r="TJ481" s="220"/>
      <c r="TK481" s="220"/>
      <c r="TL481" s="220"/>
      <c r="TM481" s="220"/>
      <c r="TN481" s="220"/>
      <c r="TO481" s="220"/>
      <c r="TP481" s="220"/>
      <c r="TQ481" s="220"/>
      <c r="TR481" s="220"/>
      <c r="TS481" s="220"/>
      <c r="TT481" s="220"/>
      <c r="TU481" s="220"/>
      <c r="TV481" s="220"/>
      <c r="TW481" s="220"/>
      <c r="TX481" s="220"/>
      <c r="TY481" s="220"/>
      <c r="TZ481" s="220"/>
      <c r="UA481" s="220"/>
      <c r="UB481" s="220"/>
      <c r="UC481" s="220"/>
      <c r="UD481" s="220"/>
      <c r="UE481" s="220"/>
      <c r="UF481" s="220"/>
      <c r="UG481" s="220"/>
      <c r="UH481" s="220"/>
      <c r="UI481" s="220"/>
      <c r="UJ481" s="220"/>
      <c r="UK481" s="220"/>
      <c r="UL481" s="220"/>
      <c r="UM481" s="220"/>
      <c r="UN481" s="220"/>
      <c r="UO481" s="220"/>
      <c r="UP481" s="220"/>
      <c r="UQ481" s="220"/>
      <c r="UR481" s="220"/>
      <c r="US481" s="220"/>
      <c r="UT481" s="220"/>
      <c r="UU481" s="220"/>
      <c r="UV481" s="220"/>
      <c r="UW481" s="220"/>
      <c r="UX481" s="220"/>
      <c r="UY481" s="220"/>
      <c r="UZ481" s="220"/>
      <c r="VA481" s="220"/>
      <c r="VB481" s="220"/>
      <c r="VC481" s="220"/>
      <c r="VD481" s="220"/>
      <c r="VE481" s="220"/>
      <c r="VF481" s="220"/>
      <c r="VG481" s="220"/>
      <c r="VH481" s="220"/>
      <c r="VI481" s="220"/>
      <c r="VJ481" s="220"/>
      <c r="VK481" s="220"/>
      <c r="VL481" s="220"/>
      <c r="VM481" s="220"/>
      <c r="VN481" s="220"/>
      <c r="VO481" s="220"/>
      <c r="VP481" s="220"/>
      <c r="VQ481" s="220"/>
      <c r="VR481" s="220"/>
      <c r="VS481" s="220"/>
      <c r="VT481" s="220"/>
      <c r="VU481" s="220"/>
      <c r="VV481" s="220"/>
      <c r="VW481" s="220"/>
      <c r="VX481" s="220"/>
      <c r="VY481" s="220"/>
      <c r="VZ481" s="220"/>
      <c r="WA481" s="220"/>
      <c r="WB481" s="220"/>
      <c r="WC481" s="220"/>
      <c r="WD481" s="220"/>
      <c r="WE481" s="220"/>
      <c r="WF481" s="220"/>
      <c r="WG481" s="220"/>
      <c r="WH481" s="220"/>
      <c r="WI481" s="220"/>
      <c r="WJ481" s="220"/>
      <c r="WK481" s="220"/>
      <c r="WL481" s="220"/>
      <c r="WM481" s="220"/>
      <c r="WN481" s="220"/>
      <c r="WO481" s="220"/>
      <c r="WP481" s="220"/>
      <c r="WQ481" s="220"/>
      <c r="WR481" s="220"/>
      <c r="WS481" s="220"/>
      <c r="WT481" s="220"/>
      <c r="WU481" s="220"/>
      <c r="WV481" s="220"/>
      <c r="WW481" s="220"/>
      <c r="WX481" s="220"/>
      <c r="WY481" s="220"/>
      <c r="WZ481" s="220"/>
      <c r="XA481" s="220"/>
      <c r="XB481" s="220"/>
      <c r="XC481" s="220"/>
      <c r="XD481" s="220"/>
      <c r="XE481" s="220"/>
      <c r="XF481" s="220"/>
      <c r="XG481" s="220"/>
      <c r="XH481" s="220"/>
      <c r="XI481" s="220"/>
      <c r="XJ481" s="220"/>
      <c r="XK481" s="220"/>
      <c r="XL481" s="220"/>
      <c r="XM481" s="220"/>
      <c r="XN481" s="220"/>
      <c r="XO481" s="220"/>
      <c r="XP481" s="220"/>
      <c r="XQ481" s="220"/>
      <c r="XR481" s="220"/>
      <c r="XS481" s="220"/>
      <c r="XT481" s="220"/>
      <c r="XU481" s="220"/>
      <c r="XV481" s="220"/>
      <c r="XW481" s="220"/>
      <c r="XX481" s="220"/>
      <c r="XY481" s="220"/>
      <c r="XZ481" s="220"/>
      <c r="YA481" s="220"/>
      <c r="YB481" s="220"/>
      <c r="YC481" s="220"/>
      <c r="YD481" s="220"/>
      <c r="YE481" s="220"/>
      <c r="YF481" s="220"/>
      <c r="YG481" s="220"/>
      <c r="YH481" s="220"/>
      <c r="YI481" s="220"/>
      <c r="YJ481" s="220"/>
      <c r="YK481" s="220"/>
      <c r="YL481" s="220"/>
      <c r="YM481" s="220"/>
      <c r="YN481" s="220"/>
      <c r="YO481" s="220"/>
      <c r="YP481" s="220"/>
      <c r="YQ481" s="220"/>
      <c r="YR481" s="220"/>
      <c r="YS481" s="220"/>
      <c r="YT481" s="220"/>
      <c r="YU481" s="220"/>
      <c r="YV481" s="220"/>
      <c r="YW481" s="220"/>
      <c r="YX481" s="220"/>
      <c r="YY481" s="220"/>
      <c r="YZ481" s="220"/>
      <c r="ZA481" s="220"/>
      <c r="ZB481" s="220"/>
      <c r="ZC481" s="220"/>
      <c r="ZD481" s="220"/>
      <c r="ZE481" s="220"/>
      <c r="ZF481" s="220"/>
      <c r="ZG481" s="220"/>
      <c r="ZH481" s="220"/>
      <c r="ZI481" s="220"/>
      <c r="ZJ481" s="220"/>
      <c r="ZK481" s="220"/>
      <c r="ZL481" s="220"/>
      <c r="ZM481" s="220"/>
      <c r="ZN481" s="220"/>
      <c r="ZO481" s="220"/>
      <c r="ZP481" s="220"/>
      <c r="ZQ481" s="220"/>
      <c r="ZR481" s="220"/>
      <c r="ZS481" s="220"/>
      <c r="ZT481" s="220"/>
      <c r="ZU481" s="220"/>
      <c r="ZV481" s="220"/>
      <c r="ZW481" s="220"/>
      <c r="ZX481" s="220"/>
      <c r="ZY481" s="220"/>
      <c r="ZZ481" s="220"/>
      <c r="AAA481" s="220"/>
      <c r="AAB481" s="220"/>
      <c r="AAC481" s="220"/>
      <c r="AAD481" s="220"/>
      <c r="AAE481" s="220"/>
      <c r="AAF481" s="220"/>
      <c r="AAG481" s="220"/>
      <c r="AAH481" s="220"/>
      <c r="AAI481" s="220"/>
      <c r="AAJ481" s="220"/>
      <c r="AAK481" s="220"/>
      <c r="AAL481" s="220"/>
      <c r="AAM481" s="220"/>
      <c r="AAN481" s="220"/>
      <c r="AAO481" s="220"/>
      <c r="AAP481" s="220"/>
      <c r="AAQ481" s="220"/>
      <c r="AAR481" s="220"/>
      <c r="AAS481" s="220"/>
      <c r="AAT481" s="220"/>
      <c r="AAU481" s="220"/>
      <c r="AAV481" s="220"/>
      <c r="AAW481" s="220"/>
      <c r="AAX481" s="220"/>
      <c r="AAY481" s="220"/>
      <c r="AAZ481" s="220"/>
      <c r="ABA481" s="220"/>
      <c r="ABB481" s="220"/>
      <c r="ABC481" s="220"/>
      <c r="ABD481" s="220"/>
      <c r="ABE481" s="220"/>
      <c r="ABF481" s="220"/>
      <c r="ABG481" s="220"/>
    </row>
    <row r="482" spans="1:735" s="246" customFormat="1" ht="60.75" x14ac:dyDescent="0.2">
      <c r="A482" s="180">
        <v>2143</v>
      </c>
      <c r="B482" s="247" t="s">
        <v>332</v>
      </c>
      <c r="C482" s="136">
        <v>8971956</v>
      </c>
      <c r="D482" s="136">
        <f>8971956+100000-1232877</f>
        <v>7839079</v>
      </c>
      <c r="E482" s="497"/>
      <c r="F482" s="495"/>
      <c r="G482" s="120"/>
      <c r="H482" s="120"/>
      <c r="I482" s="120"/>
      <c r="J482" s="6">
        <v>3167024.84</v>
      </c>
      <c r="K482" s="220"/>
      <c r="L482" s="220"/>
      <c r="M482" s="220"/>
      <c r="N482" s="220"/>
      <c r="O482" s="220"/>
      <c r="P482" s="220"/>
      <c r="Q482" s="220"/>
      <c r="R482" s="220"/>
      <c r="S482" s="220"/>
      <c r="T482" s="220"/>
      <c r="U482" s="220"/>
      <c r="V482" s="220"/>
      <c r="W482" s="220"/>
      <c r="X482" s="220"/>
      <c r="Y482" s="220"/>
      <c r="Z482" s="220"/>
      <c r="AA482" s="220"/>
      <c r="AB482" s="220"/>
      <c r="AC482" s="220"/>
      <c r="AD482" s="220"/>
      <c r="AE482" s="220"/>
      <c r="AF482" s="220"/>
      <c r="AG482" s="220"/>
      <c r="AH482" s="220"/>
      <c r="AI482" s="220"/>
      <c r="AJ482" s="220"/>
      <c r="AK482" s="220"/>
      <c r="AL482" s="220"/>
      <c r="AM482" s="220"/>
      <c r="AN482" s="220"/>
      <c r="AO482" s="220"/>
      <c r="AP482" s="220"/>
      <c r="AQ482" s="220"/>
      <c r="AR482" s="220"/>
      <c r="AS482" s="220"/>
      <c r="AT482" s="220"/>
      <c r="AU482" s="220"/>
      <c r="AV482" s="220"/>
      <c r="AW482" s="220"/>
      <c r="AX482" s="220"/>
      <c r="AY482" s="220"/>
      <c r="AZ482" s="220"/>
      <c r="BA482" s="220"/>
      <c r="BB482" s="220"/>
      <c r="BC482" s="220"/>
      <c r="BD482" s="220"/>
      <c r="BE482" s="220"/>
      <c r="BF482" s="220"/>
      <c r="BG482" s="220"/>
      <c r="BH482" s="220"/>
      <c r="BI482" s="220"/>
      <c r="BJ482" s="220"/>
      <c r="BK482" s="220"/>
      <c r="BL482" s="220"/>
      <c r="BM482" s="220"/>
      <c r="BN482" s="220"/>
      <c r="BO482" s="220"/>
      <c r="BP482" s="220"/>
      <c r="BQ482" s="220"/>
      <c r="BR482" s="220"/>
      <c r="BS482" s="220"/>
      <c r="BT482" s="220"/>
      <c r="BU482" s="220"/>
      <c r="BV482" s="220"/>
      <c r="BW482" s="220"/>
      <c r="BX482" s="220"/>
      <c r="BY482" s="220"/>
      <c r="BZ482" s="220"/>
      <c r="CA482" s="220"/>
      <c r="CB482" s="220"/>
      <c r="CC482" s="220"/>
      <c r="CD482" s="220"/>
      <c r="CE482" s="220"/>
      <c r="CF482" s="220"/>
      <c r="CG482" s="220"/>
      <c r="CH482" s="220"/>
      <c r="CI482" s="220"/>
      <c r="CJ482" s="220"/>
      <c r="CK482" s="220"/>
      <c r="CL482" s="220"/>
      <c r="CM482" s="220"/>
      <c r="CN482" s="220"/>
      <c r="CO482" s="220"/>
      <c r="CP482" s="220"/>
      <c r="CQ482" s="220"/>
      <c r="CR482" s="220"/>
      <c r="CS482" s="220"/>
      <c r="CT482" s="220"/>
      <c r="CU482" s="220"/>
      <c r="CV482" s="220"/>
      <c r="CW482" s="220"/>
      <c r="CX482" s="220"/>
      <c r="CY482" s="220"/>
      <c r="CZ482" s="220"/>
      <c r="DA482" s="220"/>
      <c r="DB482" s="220"/>
      <c r="DC482" s="220"/>
      <c r="DD482" s="220"/>
      <c r="DE482" s="220"/>
      <c r="DF482" s="220"/>
      <c r="DG482" s="220"/>
      <c r="DH482" s="220"/>
      <c r="DI482" s="220"/>
      <c r="DJ482" s="220"/>
      <c r="DK482" s="220"/>
      <c r="DL482" s="220"/>
      <c r="DM482" s="220"/>
      <c r="DN482" s="220"/>
      <c r="DO482" s="220"/>
      <c r="DP482" s="220"/>
      <c r="DQ482" s="220"/>
      <c r="DR482" s="220"/>
      <c r="DS482" s="220"/>
      <c r="DT482" s="220"/>
      <c r="DU482" s="220"/>
      <c r="DV482" s="220"/>
      <c r="DW482" s="220"/>
      <c r="DX482" s="220"/>
      <c r="DY482" s="220"/>
      <c r="DZ482" s="220"/>
      <c r="EA482" s="220"/>
      <c r="EB482" s="220"/>
      <c r="EC482" s="220"/>
      <c r="ED482" s="220"/>
      <c r="EE482" s="220"/>
      <c r="EF482" s="220"/>
      <c r="EG482" s="220"/>
      <c r="EH482" s="220"/>
      <c r="EI482" s="220"/>
      <c r="EJ482" s="220"/>
      <c r="EK482" s="220"/>
      <c r="EL482" s="220"/>
      <c r="EM482" s="220"/>
      <c r="EN482" s="220"/>
      <c r="EO482" s="220"/>
      <c r="EP482" s="220"/>
      <c r="EQ482" s="220"/>
      <c r="ER482" s="220"/>
      <c r="ES482" s="220"/>
      <c r="ET482" s="220"/>
      <c r="EU482" s="220"/>
      <c r="EV482" s="220"/>
      <c r="EW482" s="220"/>
      <c r="EX482" s="220"/>
      <c r="EY482" s="220"/>
      <c r="EZ482" s="220"/>
      <c r="FA482" s="220"/>
      <c r="FB482" s="220"/>
      <c r="FC482" s="220"/>
      <c r="FD482" s="220"/>
      <c r="FE482" s="220"/>
      <c r="FF482" s="220"/>
      <c r="FG482" s="220"/>
      <c r="FH482" s="220"/>
      <c r="FI482" s="220"/>
      <c r="FJ482" s="220"/>
      <c r="FK482" s="220"/>
      <c r="FL482" s="220"/>
      <c r="FM482" s="220"/>
      <c r="FN482" s="220"/>
      <c r="FO482" s="220"/>
      <c r="FP482" s="220"/>
      <c r="FQ482" s="220"/>
      <c r="FR482" s="220"/>
      <c r="FS482" s="220"/>
      <c r="FT482" s="220"/>
      <c r="FU482" s="220"/>
      <c r="FV482" s="220"/>
      <c r="FW482" s="220"/>
      <c r="FX482" s="220"/>
      <c r="FY482" s="220"/>
      <c r="FZ482" s="220"/>
      <c r="GA482" s="220"/>
      <c r="GB482" s="220"/>
      <c r="GC482" s="220"/>
      <c r="GD482" s="220"/>
      <c r="GE482" s="220"/>
      <c r="GF482" s="220"/>
      <c r="GG482" s="220"/>
      <c r="GH482" s="220"/>
      <c r="GI482" s="220"/>
      <c r="GJ482" s="220"/>
      <c r="GK482" s="220"/>
      <c r="GL482" s="220"/>
      <c r="GM482" s="220"/>
      <c r="GN482" s="220"/>
      <c r="GO482" s="220"/>
      <c r="GP482" s="220"/>
      <c r="GQ482" s="220"/>
      <c r="GR482" s="220"/>
      <c r="GS482" s="220"/>
      <c r="GT482" s="220"/>
      <c r="GU482" s="220"/>
      <c r="GV482" s="220"/>
      <c r="GW482" s="220"/>
      <c r="GX482" s="220"/>
      <c r="GY482" s="220"/>
      <c r="GZ482" s="220"/>
      <c r="HA482" s="220"/>
      <c r="HB482" s="220"/>
      <c r="HC482" s="220"/>
      <c r="HD482" s="220"/>
      <c r="HE482" s="220"/>
      <c r="HF482" s="220"/>
      <c r="HG482" s="220"/>
      <c r="HH482" s="220"/>
      <c r="HI482" s="220"/>
      <c r="HJ482" s="220"/>
      <c r="HK482" s="220"/>
      <c r="HL482" s="220"/>
      <c r="HM482" s="220"/>
      <c r="HN482" s="220"/>
      <c r="HO482" s="220"/>
      <c r="HP482" s="220"/>
      <c r="HQ482" s="220"/>
      <c r="HR482" s="220"/>
      <c r="HS482" s="220"/>
      <c r="HT482" s="220"/>
      <c r="HU482" s="220"/>
      <c r="HV482" s="220"/>
      <c r="HW482" s="220"/>
      <c r="HX482" s="220"/>
      <c r="HY482" s="220"/>
      <c r="HZ482" s="220"/>
      <c r="IA482" s="220"/>
      <c r="IB482" s="220"/>
      <c r="IC482" s="220"/>
      <c r="ID482" s="220"/>
      <c r="IE482" s="220"/>
      <c r="IF482" s="220"/>
      <c r="IG482" s="220"/>
      <c r="IH482" s="220"/>
      <c r="II482" s="220"/>
      <c r="IJ482" s="220"/>
      <c r="IK482" s="220"/>
      <c r="IL482" s="220"/>
      <c r="IM482" s="220"/>
      <c r="IN482" s="220"/>
      <c r="IO482" s="220"/>
      <c r="IP482" s="220"/>
      <c r="IQ482" s="220"/>
      <c r="IR482" s="220"/>
      <c r="IS482" s="220"/>
      <c r="IT482" s="220"/>
      <c r="IU482" s="220"/>
      <c r="IV482" s="220"/>
      <c r="IW482" s="220"/>
      <c r="IX482" s="220"/>
      <c r="IY482" s="220"/>
      <c r="IZ482" s="220"/>
      <c r="JA482" s="220"/>
      <c r="JB482" s="220"/>
      <c r="JC482" s="220"/>
      <c r="JD482" s="220"/>
      <c r="JE482" s="220"/>
      <c r="JF482" s="220"/>
      <c r="JG482" s="220"/>
      <c r="JH482" s="220"/>
      <c r="JI482" s="220"/>
      <c r="JJ482" s="220"/>
      <c r="JK482" s="220"/>
      <c r="JL482" s="220"/>
      <c r="JM482" s="220"/>
      <c r="JN482" s="220"/>
      <c r="JO482" s="220"/>
      <c r="JP482" s="220"/>
      <c r="JQ482" s="220"/>
      <c r="JR482" s="220"/>
      <c r="JS482" s="220"/>
      <c r="JT482" s="220"/>
      <c r="JU482" s="220"/>
      <c r="JV482" s="220"/>
      <c r="JW482" s="220"/>
      <c r="JX482" s="220"/>
      <c r="JY482" s="220"/>
      <c r="JZ482" s="220"/>
      <c r="KA482" s="220"/>
      <c r="KB482" s="220"/>
      <c r="KC482" s="220"/>
      <c r="KD482" s="220"/>
      <c r="KE482" s="220"/>
      <c r="KF482" s="220"/>
      <c r="KG482" s="220"/>
      <c r="KH482" s="220"/>
      <c r="KI482" s="220"/>
      <c r="KJ482" s="220"/>
      <c r="KK482" s="220"/>
      <c r="KL482" s="220"/>
      <c r="KM482" s="220"/>
      <c r="KN482" s="220"/>
      <c r="KO482" s="220"/>
      <c r="KP482" s="220"/>
      <c r="KQ482" s="220"/>
      <c r="KR482" s="220"/>
      <c r="KS482" s="220"/>
      <c r="KT482" s="220"/>
      <c r="KU482" s="220"/>
      <c r="KV482" s="220"/>
      <c r="KW482" s="220"/>
      <c r="KX482" s="220"/>
      <c r="KY482" s="220"/>
      <c r="KZ482" s="220"/>
      <c r="LA482" s="220"/>
      <c r="LB482" s="220"/>
      <c r="LC482" s="220"/>
      <c r="LD482" s="220"/>
      <c r="LE482" s="220"/>
      <c r="LF482" s="220"/>
      <c r="LG482" s="220"/>
      <c r="LH482" s="220"/>
      <c r="LI482" s="220"/>
      <c r="LJ482" s="220"/>
      <c r="LK482" s="220"/>
      <c r="LL482" s="220"/>
      <c r="LM482" s="220"/>
      <c r="LN482" s="220"/>
      <c r="LO482" s="220"/>
      <c r="LP482" s="220"/>
      <c r="LQ482" s="220"/>
      <c r="LR482" s="220"/>
      <c r="LS482" s="220"/>
      <c r="LT482" s="220"/>
      <c r="LU482" s="220"/>
      <c r="LV482" s="220"/>
      <c r="LW482" s="220"/>
      <c r="LX482" s="220"/>
      <c r="LY482" s="220"/>
      <c r="LZ482" s="220"/>
      <c r="MA482" s="220"/>
      <c r="MB482" s="220"/>
      <c r="MC482" s="220"/>
      <c r="MD482" s="220"/>
      <c r="ME482" s="220"/>
      <c r="MF482" s="220"/>
      <c r="MG482" s="220"/>
      <c r="MH482" s="220"/>
      <c r="MI482" s="220"/>
      <c r="MJ482" s="220"/>
      <c r="MK482" s="220"/>
      <c r="ML482" s="220"/>
      <c r="MM482" s="220"/>
      <c r="MN482" s="220"/>
      <c r="MO482" s="220"/>
      <c r="MP482" s="220"/>
      <c r="MQ482" s="220"/>
      <c r="MR482" s="220"/>
      <c r="MS482" s="220"/>
      <c r="MT482" s="220"/>
      <c r="MU482" s="220"/>
      <c r="MV482" s="220"/>
      <c r="MW482" s="220"/>
      <c r="MX482" s="220"/>
      <c r="MY482" s="220"/>
      <c r="MZ482" s="220"/>
      <c r="NA482" s="220"/>
      <c r="NB482" s="220"/>
      <c r="NC482" s="220"/>
      <c r="ND482" s="220"/>
      <c r="NE482" s="220"/>
      <c r="NF482" s="220"/>
      <c r="NG482" s="220"/>
      <c r="NH482" s="220"/>
      <c r="NI482" s="220"/>
      <c r="NJ482" s="220"/>
      <c r="NK482" s="220"/>
      <c r="NL482" s="220"/>
      <c r="NM482" s="220"/>
      <c r="NN482" s="220"/>
      <c r="NO482" s="220"/>
      <c r="NP482" s="220"/>
      <c r="NQ482" s="220"/>
      <c r="NR482" s="220"/>
      <c r="NS482" s="220"/>
      <c r="NT482" s="220"/>
      <c r="NU482" s="220"/>
      <c r="NV482" s="220"/>
      <c r="NW482" s="220"/>
      <c r="NX482" s="220"/>
      <c r="NY482" s="220"/>
      <c r="NZ482" s="220"/>
      <c r="OA482" s="220"/>
      <c r="OB482" s="220"/>
      <c r="OC482" s="220"/>
      <c r="OD482" s="220"/>
      <c r="OE482" s="220"/>
      <c r="OF482" s="220"/>
      <c r="OG482" s="220"/>
      <c r="OH482" s="220"/>
      <c r="OI482" s="220"/>
      <c r="OJ482" s="220"/>
      <c r="OK482" s="220"/>
      <c r="OL482" s="220"/>
      <c r="OM482" s="220"/>
      <c r="ON482" s="220"/>
      <c r="OO482" s="220"/>
      <c r="OP482" s="220"/>
      <c r="OQ482" s="220"/>
      <c r="OR482" s="220"/>
      <c r="OS482" s="220"/>
      <c r="OT482" s="220"/>
      <c r="OU482" s="220"/>
      <c r="OV482" s="220"/>
      <c r="OW482" s="220"/>
      <c r="OX482" s="220"/>
      <c r="OY482" s="220"/>
      <c r="OZ482" s="220"/>
      <c r="PA482" s="220"/>
      <c r="PB482" s="220"/>
      <c r="PC482" s="220"/>
      <c r="PD482" s="220"/>
      <c r="PE482" s="220"/>
      <c r="PF482" s="220"/>
      <c r="PG482" s="220"/>
      <c r="PH482" s="220"/>
      <c r="PI482" s="220"/>
      <c r="PJ482" s="220"/>
      <c r="PK482" s="220"/>
      <c r="PL482" s="220"/>
      <c r="PM482" s="220"/>
      <c r="PN482" s="220"/>
      <c r="PO482" s="220"/>
      <c r="PP482" s="220"/>
      <c r="PQ482" s="220"/>
      <c r="PR482" s="220"/>
      <c r="PS482" s="220"/>
      <c r="PT482" s="220"/>
      <c r="PU482" s="220"/>
      <c r="PV482" s="220"/>
      <c r="PW482" s="220"/>
      <c r="PX482" s="220"/>
      <c r="PY482" s="220"/>
      <c r="PZ482" s="220"/>
      <c r="QA482" s="220"/>
      <c r="QB482" s="220"/>
      <c r="QC482" s="220"/>
      <c r="QD482" s="220"/>
      <c r="QE482" s="220"/>
      <c r="QF482" s="220"/>
      <c r="QG482" s="220"/>
      <c r="QH482" s="220"/>
      <c r="QI482" s="220"/>
      <c r="QJ482" s="220"/>
      <c r="QK482" s="220"/>
      <c r="QL482" s="220"/>
      <c r="QM482" s="220"/>
      <c r="QN482" s="220"/>
      <c r="QO482" s="220"/>
      <c r="QP482" s="220"/>
      <c r="QQ482" s="220"/>
      <c r="QR482" s="220"/>
      <c r="QS482" s="220"/>
      <c r="QT482" s="220"/>
      <c r="QU482" s="220"/>
      <c r="QV482" s="220"/>
      <c r="QW482" s="220"/>
      <c r="QX482" s="220"/>
      <c r="QY482" s="220"/>
      <c r="QZ482" s="220"/>
      <c r="RA482" s="220"/>
      <c r="RB482" s="220"/>
      <c r="RC482" s="220"/>
      <c r="RD482" s="220"/>
      <c r="RE482" s="220"/>
      <c r="RF482" s="220"/>
      <c r="RG482" s="220"/>
      <c r="RH482" s="220"/>
      <c r="RI482" s="220"/>
      <c r="RJ482" s="220"/>
      <c r="RK482" s="220"/>
      <c r="RL482" s="220"/>
      <c r="RM482" s="220"/>
      <c r="RN482" s="220"/>
      <c r="RO482" s="220"/>
      <c r="RP482" s="220"/>
      <c r="RQ482" s="220"/>
      <c r="RR482" s="220"/>
      <c r="RS482" s="220"/>
      <c r="RT482" s="220"/>
      <c r="RU482" s="220"/>
      <c r="RV482" s="220"/>
      <c r="RW482" s="220"/>
      <c r="RX482" s="220"/>
      <c r="RY482" s="220"/>
      <c r="RZ482" s="220"/>
      <c r="SA482" s="220"/>
      <c r="SB482" s="220"/>
      <c r="SC482" s="220"/>
      <c r="SD482" s="220"/>
      <c r="SE482" s="220"/>
      <c r="SF482" s="220"/>
      <c r="SG482" s="220"/>
      <c r="SH482" s="220"/>
      <c r="SI482" s="220"/>
      <c r="SJ482" s="220"/>
      <c r="SK482" s="220"/>
      <c r="SL482" s="220"/>
      <c r="SM482" s="220"/>
      <c r="SN482" s="220"/>
      <c r="SO482" s="220"/>
      <c r="SP482" s="220"/>
      <c r="SQ482" s="220"/>
      <c r="SR482" s="220"/>
      <c r="SS482" s="220"/>
      <c r="ST482" s="220"/>
      <c r="SU482" s="220"/>
      <c r="SV482" s="220"/>
      <c r="SW482" s="220"/>
      <c r="SX482" s="220"/>
      <c r="SY482" s="220"/>
      <c r="SZ482" s="220"/>
      <c r="TA482" s="220"/>
      <c r="TB482" s="220"/>
      <c r="TC482" s="220"/>
      <c r="TD482" s="220"/>
      <c r="TE482" s="220"/>
      <c r="TF482" s="220"/>
      <c r="TG482" s="220"/>
      <c r="TH482" s="220"/>
      <c r="TI482" s="220"/>
      <c r="TJ482" s="220"/>
      <c r="TK482" s="220"/>
      <c r="TL482" s="220"/>
      <c r="TM482" s="220"/>
      <c r="TN482" s="220"/>
      <c r="TO482" s="220"/>
      <c r="TP482" s="220"/>
      <c r="TQ482" s="220"/>
      <c r="TR482" s="220"/>
      <c r="TS482" s="220"/>
      <c r="TT482" s="220"/>
      <c r="TU482" s="220"/>
      <c r="TV482" s="220"/>
      <c r="TW482" s="220"/>
      <c r="TX482" s="220"/>
      <c r="TY482" s="220"/>
      <c r="TZ482" s="220"/>
      <c r="UA482" s="220"/>
      <c r="UB482" s="220"/>
      <c r="UC482" s="220"/>
      <c r="UD482" s="220"/>
      <c r="UE482" s="220"/>
      <c r="UF482" s="220"/>
      <c r="UG482" s="220"/>
      <c r="UH482" s="220"/>
      <c r="UI482" s="220"/>
      <c r="UJ482" s="220"/>
      <c r="UK482" s="220"/>
      <c r="UL482" s="220"/>
      <c r="UM482" s="220"/>
      <c r="UN482" s="220"/>
      <c r="UO482" s="220"/>
      <c r="UP482" s="220"/>
      <c r="UQ482" s="220"/>
      <c r="UR482" s="220"/>
      <c r="US482" s="220"/>
      <c r="UT482" s="220"/>
      <c r="UU482" s="220"/>
      <c r="UV482" s="220"/>
      <c r="UW482" s="220"/>
      <c r="UX482" s="220"/>
      <c r="UY482" s="220"/>
      <c r="UZ482" s="220"/>
      <c r="VA482" s="220"/>
      <c r="VB482" s="220"/>
      <c r="VC482" s="220"/>
      <c r="VD482" s="220"/>
      <c r="VE482" s="220"/>
      <c r="VF482" s="220"/>
      <c r="VG482" s="220"/>
      <c r="VH482" s="220"/>
      <c r="VI482" s="220"/>
      <c r="VJ482" s="220"/>
      <c r="VK482" s="220"/>
      <c r="VL482" s="220"/>
      <c r="VM482" s="220"/>
      <c r="VN482" s="220"/>
      <c r="VO482" s="220"/>
      <c r="VP482" s="220"/>
      <c r="VQ482" s="220"/>
      <c r="VR482" s="220"/>
      <c r="VS482" s="220"/>
      <c r="VT482" s="220"/>
      <c r="VU482" s="220"/>
      <c r="VV482" s="220"/>
      <c r="VW482" s="220"/>
      <c r="VX482" s="220"/>
      <c r="VY482" s="220"/>
      <c r="VZ482" s="220"/>
      <c r="WA482" s="220"/>
      <c r="WB482" s="220"/>
      <c r="WC482" s="220"/>
      <c r="WD482" s="220"/>
      <c r="WE482" s="220"/>
      <c r="WF482" s="220"/>
      <c r="WG482" s="220"/>
      <c r="WH482" s="220"/>
      <c r="WI482" s="220"/>
      <c r="WJ482" s="220"/>
      <c r="WK482" s="220"/>
      <c r="WL482" s="220"/>
      <c r="WM482" s="220"/>
      <c r="WN482" s="220"/>
      <c r="WO482" s="220"/>
      <c r="WP482" s="220"/>
      <c r="WQ482" s="220"/>
      <c r="WR482" s="220"/>
      <c r="WS482" s="220"/>
      <c r="WT482" s="220"/>
      <c r="WU482" s="220"/>
      <c r="WV482" s="220"/>
      <c r="WW482" s="220"/>
      <c r="WX482" s="220"/>
      <c r="WY482" s="220"/>
      <c r="WZ482" s="220"/>
      <c r="XA482" s="220"/>
      <c r="XB482" s="220"/>
      <c r="XC482" s="220"/>
      <c r="XD482" s="220"/>
      <c r="XE482" s="220"/>
      <c r="XF482" s="220"/>
      <c r="XG482" s="220"/>
      <c r="XH482" s="220"/>
      <c r="XI482" s="220"/>
      <c r="XJ482" s="220"/>
      <c r="XK482" s="220"/>
      <c r="XL482" s="220"/>
      <c r="XM482" s="220"/>
      <c r="XN482" s="220"/>
      <c r="XO482" s="220"/>
      <c r="XP482" s="220"/>
      <c r="XQ482" s="220"/>
      <c r="XR482" s="220"/>
      <c r="XS482" s="220"/>
      <c r="XT482" s="220"/>
      <c r="XU482" s="220"/>
      <c r="XV482" s="220"/>
      <c r="XW482" s="220"/>
      <c r="XX482" s="220"/>
      <c r="XY482" s="220"/>
      <c r="XZ482" s="220"/>
      <c r="YA482" s="220"/>
      <c r="YB482" s="220"/>
      <c r="YC482" s="220"/>
      <c r="YD482" s="220"/>
      <c r="YE482" s="220"/>
      <c r="YF482" s="220"/>
      <c r="YG482" s="220"/>
      <c r="YH482" s="220"/>
      <c r="YI482" s="220"/>
      <c r="YJ482" s="220"/>
      <c r="YK482" s="220"/>
      <c r="YL482" s="220"/>
      <c r="YM482" s="220"/>
      <c r="YN482" s="220"/>
      <c r="YO482" s="220"/>
      <c r="YP482" s="220"/>
      <c r="YQ482" s="220"/>
      <c r="YR482" s="220"/>
      <c r="YS482" s="220"/>
      <c r="YT482" s="220"/>
      <c r="YU482" s="220"/>
      <c r="YV482" s="220"/>
      <c r="YW482" s="220"/>
      <c r="YX482" s="220"/>
      <c r="YY482" s="220"/>
      <c r="YZ482" s="220"/>
      <c r="ZA482" s="220"/>
      <c r="ZB482" s="220"/>
      <c r="ZC482" s="220"/>
      <c r="ZD482" s="220"/>
      <c r="ZE482" s="220"/>
      <c r="ZF482" s="220"/>
      <c r="ZG482" s="220"/>
      <c r="ZH482" s="220"/>
      <c r="ZI482" s="220"/>
      <c r="ZJ482" s="220"/>
      <c r="ZK482" s="220"/>
      <c r="ZL482" s="220"/>
      <c r="ZM482" s="220"/>
      <c r="ZN482" s="220"/>
      <c r="ZO482" s="220"/>
      <c r="ZP482" s="220"/>
      <c r="ZQ482" s="220"/>
      <c r="ZR482" s="220"/>
      <c r="ZS482" s="220"/>
      <c r="ZT482" s="220"/>
      <c r="ZU482" s="220"/>
      <c r="ZV482" s="220"/>
      <c r="ZW482" s="220"/>
      <c r="ZX482" s="220"/>
      <c r="ZY482" s="220"/>
      <c r="ZZ482" s="220"/>
      <c r="AAA482" s="220"/>
      <c r="AAB482" s="220"/>
      <c r="AAC482" s="220"/>
      <c r="AAD482" s="220"/>
      <c r="AAE482" s="220"/>
      <c r="AAF482" s="220"/>
      <c r="AAG482" s="220"/>
      <c r="AAH482" s="220"/>
      <c r="AAI482" s="220"/>
      <c r="AAJ482" s="220"/>
      <c r="AAK482" s="220"/>
      <c r="AAL482" s="220"/>
      <c r="AAM482" s="220"/>
      <c r="AAN482" s="220"/>
      <c r="AAO482" s="220"/>
      <c r="AAP482" s="220"/>
      <c r="AAQ482" s="220"/>
      <c r="AAR482" s="220"/>
      <c r="AAS482" s="220"/>
      <c r="AAT482" s="220"/>
      <c r="AAU482" s="220"/>
      <c r="AAV482" s="220"/>
      <c r="AAW482" s="220"/>
      <c r="AAX482" s="220"/>
      <c r="AAY482" s="220"/>
      <c r="AAZ482" s="220"/>
      <c r="ABA482" s="220"/>
      <c r="ABB482" s="220"/>
      <c r="ABC482" s="220"/>
      <c r="ABD482" s="220"/>
      <c r="ABE482" s="220"/>
      <c r="ABF482" s="220"/>
      <c r="ABG482" s="220"/>
    </row>
    <row r="483" spans="1:735" s="246" customFormat="1" ht="30" customHeight="1" x14ac:dyDescent="0.2">
      <c r="A483" s="180">
        <v>3399</v>
      </c>
      <c r="B483" s="123" t="s">
        <v>331</v>
      </c>
      <c r="C483" s="136">
        <v>40000</v>
      </c>
      <c r="D483" s="136">
        <f>40000-20000</f>
        <v>20000</v>
      </c>
      <c r="E483" s="549"/>
      <c r="F483" s="496"/>
      <c r="G483" s="120"/>
      <c r="H483" s="120"/>
      <c r="I483" s="120"/>
      <c r="J483" s="162">
        <v>33332.79</v>
      </c>
      <c r="K483" s="220"/>
      <c r="L483" s="220"/>
      <c r="M483" s="220"/>
      <c r="N483" s="220"/>
      <c r="O483" s="220"/>
      <c r="P483" s="220"/>
      <c r="Q483" s="220"/>
      <c r="R483" s="220"/>
      <c r="S483" s="220"/>
      <c r="T483" s="220"/>
      <c r="U483" s="220"/>
      <c r="V483" s="220"/>
      <c r="W483" s="220"/>
      <c r="X483" s="220"/>
      <c r="Y483" s="220"/>
      <c r="Z483" s="220"/>
      <c r="AA483" s="220"/>
      <c r="AB483" s="220"/>
      <c r="AC483" s="220"/>
      <c r="AD483" s="220"/>
      <c r="AE483" s="220"/>
      <c r="AF483" s="220"/>
      <c r="AG483" s="220"/>
      <c r="AH483" s="220"/>
      <c r="AI483" s="220"/>
      <c r="AJ483" s="220"/>
      <c r="AK483" s="220"/>
      <c r="AL483" s="220"/>
      <c r="AM483" s="220"/>
      <c r="AN483" s="220"/>
      <c r="AO483" s="220"/>
      <c r="AP483" s="220"/>
      <c r="AQ483" s="220"/>
      <c r="AR483" s="220"/>
      <c r="AS483" s="220"/>
      <c r="AT483" s="220"/>
      <c r="AU483" s="220"/>
      <c r="AV483" s="220"/>
      <c r="AW483" s="220"/>
      <c r="AX483" s="220"/>
      <c r="AY483" s="220"/>
      <c r="AZ483" s="220"/>
      <c r="BA483" s="220"/>
      <c r="BB483" s="220"/>
      <c r="BC483" s="220"/>
      <c r="BD483" s="220"/>
      <c r="BE483" s="220"/>
      <c r="BF483" s="220"/>
      <c r="BG483" s="220"/>
      <c r="BH483" s="220"/>
      <c r="BI483" s="220"/>
      <c r="BJ483" s="220"/>
      <c r="BK483" s="220"/>
      <c r="BL483" s="220"/>
      <c r="BM483" s="220"/>
      <c r="BN483" s="220"/>
      <c r="BO483" s="220"/>
      <c r="BP483" s="220"/>
      <c r="BQ483" s="220"/>
      <c r="BR483" s="220"/>
      <c r="BS483" s="220"/>
      <c r="BT483" s="220"/>
      <c r="BU483" s="220"/>
      <c r="BV483" s="220"/>
      <c r="BW483" s="220"/>
      <c r="BX483" s="220"/>
      <c r="BY483" s="220"/>
      <c r="BZ483" s="220"/>
      <c r="CA483" s="220"/>
      <c r="CB483" s="220"/>
      <c r="CC483" s="220"/>
      <c r="CD483" s="220"/>
      <c r="CE483" s="220"/>
      <c r="CF483" s="220"/>
      <c r="CG483" s="220"/>
      <c r="CH483" s="220"/>
      <c r="CI483" s="220"/>
      <c r="CJ483" s="220"/>
      <c r="CK483" s="220"/>
      <c r="CL483" s="220"/>
      <c r="CM483" s="220"/>
      <c r="CN483" s="220"/>
      <c r="CO483" s="220"/>
      <c r="CP483" s="220"/>
      <c r="CQ483" s="220"/>
      <c r="CR483" s="220"/>
      <c r="CS483" s="220"/>
      <c r="CT483" s="220"/>
      <c r="CU483" s="220"/>
      <c r="CV483" s="220"/>
      <c r="CW483" s="220"/>
      <c r="CX483" s="220"/>
      <c r="CY483" s="220"/>
      <c r="CZ483" s="220"/>
      <c r="DA483" s="220"/>
      <c r="DB483" s="220"/>
      <c r="DC483" s="220"/>
      <c r="DD483" s="220"/>
      <c r="DE483" s="220"/>
      <c r="DF483" s="220"/>
      <c r="DG483" s="220"/>
      <c r="DH483" s="220"/>
      <c r="DI483" s="220"/>
      <c r="DJ483" s="220"/>
      <c r="DK483" s="220"/>
      <c r="DL483" s="220"/>
      <c r="DM483" s="220"/>
      <c r="DN483" s="220"/>
      <c r="DO483" s="220"/>
      <c r="DP483" s="220"/>
      <c r="DQ483" s="220"/>
      <c r="DR483" s="220"/>
      <c r="DS483" s="220"/>
      <c r="DT483" s="220"/>
      <c r="DU483" s="220"/>
      <c r="DV483" s="220"/>
      <c r="DW483" s="220"/>
      <c r="DX483" s="220"/>
      <c r="DY483" s="220"/>
      <c r="DZ483" s="220"/>
      <c r="EA483" s="220"/>
      <c r="EB483" s="220"/>
      <c r="EC483" s="220"/>
      <c r="ED483" s="220"/>
      <c r="EE483" s="220"/>
      <c r="EF483" s="220"/>
      <c r="EG483" s="220"/>
      <c r="EH483" s="220"/>
      <c r="EI483" s="220"/>
      <c r="EJ483" s="220"/>
      <c r="EK483" s="220"/>
      <c r="EL483" s="220"/>
      <c r="EM483" s="220"/>
      <c r="EN483" s="220"/>
      <c r="EO483" s="220"/>
      <c r="EP483" s="220"/>
      <c r="EQ483" s="220"/>
      <c r="ER483" s="220"/>
      <c r="ES483" s="220"/>
      <c r="ET483" s="220"/>
      <c r="EU483" s="220"/>
      <c r="EV483" s="220"/>
      <c r="EW483" s="220"/>
      <c r="EX483" s="220"/>
      <c r="EY483" s="220"/>
      <c r="EZ483" s="220"/>
      <c r="FA483" s="220"/>
      <c r="FB483" s="220"/>
      <c r="FC483" s="220"/>
      <c r="FD483" s="220"/>
      <c r="FE483" s="220"/>
      <c r="FF483" s="220"/>
      <c r="FG483" s="220"/>
      <c r="FH483" s="220"/>
      <c r="FI483" s="220"/>
      <c r="FJ483" s="220"/>
      <c r="FK483" s="220"/>
      <c r="FL483" s="220"/>
      <c r="FM483" s="220"/>
      <c r="FN483" s="220"/>
      <c r="FO483" s="220"/>
      <c r="FP483" s="220"/>
      <c r="FQ483" s="220"/>
      <c r="FR483" s="220"/>
      <c r="FS483" s="220"/>
      <c r="FT483" s="220"/>
      <c r="FU483" s="220"/>
      <c r="FV483" s="220"/>
      <c r="FW483" s="220"/>
      <c r="FX483" s="220"/>
      <c r="FY483" s="220"/>
      <c r="FZ483" s="220"/>
      <c r="GA483" s="220"/>
      <c r="GB483" s="220"/>
      <c r="GC483" s="220"/>
      <c r="GD483" s="220"/>
      <c r="GE483" s="220"/>
      <c r="GF483" s="220"/>
      <c r="GG483" s="220"/>
      <c r="GH483" s="220"/>
      <c r="GI483" s="220"/>
      <c r="GJ483" s="220"/>
      <c r="GK483" s="220"/>
      <c r="GL483" s="220"/>
      <c r="GM483" s="220"/>
      <c r="GN483" s="220"/>
      <c r="GO483" s="220"/>
      <c r="GP483" s="220"/>
      <c r="GQ483" s="220"/>
      <c r="GR483" s="220"/>
      <c r="GS483" s="220"/>
      <c r="GT483" s="220"/>
      <c r="GU483" s="220"/>
      <c r="GV483" s="220"/>
      <c r="GW483" s="220"/>
      <c r="GX483" s="220"/>
      <c r="GY483" s="220"/>
      <c r="GZ483" s="220"/>
      <c r="HA483" s="220"/>
      <c r="HB483" s="220"/>
      <c r="HC483" s="220"/>
      <c r="HD483" s="220"/>
      <c r="HE483" s="220"/>
      <c r="HF483" s="220"/>
      <c r="HG483" s="220"/>
      <c r="HH483" s="220"/>
      <c r="HI483" s="220"/>
      <c r="HJ483" s="220"/>
      <c r="HK483" s="220"/>
      <c r="HL483" s="220"/>
      <c r="HM483" s="220"/>
      <c r="HN483" s="220"/>
      <c r="HO483" s="220"/>
      <c r="HP483" s="220"/>
      <c r="HQ483" s="220"/>
      <c r="HR483" s="220"/>
      <c r="HS483" s="220"/>
      <c r="HT483" s="220"/>
      <c r="HU483" s="220"/>
      <c r="HV483" s="220"/>
      <c r="HW483" s="220"/>
      <c r="HX483" s="220"/>
      <c r="HY483" s="220"/>
      <c r="HZ483" s="220"/>
      <c r="IA483" s="220"/>
      <c r="IB483" s="220"/>
      <c r="IC483" s="220"/>
      <c r="ID483" s="220"/>
      <c r="IE483" s="220"/>
      <c r="IF483" s="220"/>
      <c r="IG483" s="220"/>
      <c r="IH483" s="220"/>
      <c r="II483" s="220"/>
      <c r="IJ483" s="220"/>
      <c r="IK483" s="220"/>
      <c r="IL483" s="220"/>
      <c r="IM483" s="220"/>
      <c r="IN483" s="220"/>
      <c r="IO483" s="220"/>
      <c r="IP483" s="220"/>
      <c r="IQ483" s="220"/>
      <c r="IR483" s="220"/>
      <c r="IS483" s="220"/>
      <c r="IT483" s="220"/>
      <c r="IU483" s="220"/>
      <c r="IV483" s="220"/>
      <c r="IW483" s="220"/>
      <c r="IX483" s="220"/>
      <c r="IY483" s="220"/>
      <c r="IZ483" s="220"/>
      <c r="JA483" s="220"/>
      <c r="JB483" s="220"/>
      <c r="JC483" s="220"/>
      <c r="JD483" s="220"/>
      <c r="JE483" s="220"/>
      <c r="JF483" s="220"/>
      <c r="JG483" s="220"/>
      <c r="JH483" s="220"/>
      <c r="JI483" s="220"/>
      <c r="JJ483" s="220"/>
      <c r="JK483" s="220"/>
      <c r="JL483" s="220"/>
      <c r="JM483" s="220"/>
      <c r="JN483" s="220"/>
      <c r="JO483" s="220"/>
      <c r="JP483" s="220"/>
      <c r="JQ483" s="220"/>
      <c r="JR483" s="220"/>
      <c r="JS483" s="220"/>
      <c r="JT483" s="220"/>
      <c r="JU483" s="220"/>
      <c r="JV483" s="220"/>
      <c r="JW483" s="220"/>
      <c r="JX483" s="220"/>
      <c r="JY483" s="220"/>
      <c r="JZ483" s="220"/>
      <c r="KA483" s="220"/>
      <c r="KB483" s="220"/>
      <c r="KC483" s="220"/>
      <c r="KD483" s="220"/>
      <c r="KE483" s="220"/>
      <c r="KF483" s="220"/>
      <c r="KG483" s="220"/>
      <c r="KH483" s="220"/>
      <c r="KI483" s="220"/>
      <c r="KJ483" s="220"/>
      <c r="KK483" s="220"/>
      <c r="KL483" s="220"/>
      <c r="KM483" s="220"/>
      <c r="KN483" s="220"/>
      <c r="KO483" s="220"/>
      <c r="KP483" s="220"/>
      <c r="KQ483" s="220"/>
      <c r="KR483" s="220"/>
      <c r="KS483" s="220"/>
      <c r="KT483" s="220"/>
      <c r="KU483" s="220"/>
      <c r="KV483" s="220"/>
      <c r="KW483" s="220"/>
      <c r="KX483" s="220"/>
      <c r="KY483" s="220"/>
      <c r="KZ483" s="220"/>
      <c r="LA483" s="220"/>
      <c r="LB483" s="220"/>
      <c r="LC483" s="220"/>
      <c r="LD483" s="220"/>
      <c r="LE483" s="220"/>
      <c r="LF483" s="220"/>
      <c r="LG483" s="220"/>
      <c r="LH483" s="220"/>
      <c r="LI483" s="220"/>
      <c r="LJ483" s="220"/>
      <c r="LK483" s="220"/>
      <c r="LL483" s="220"/>
      <c r="LM483" s="220"/>
      <c r="LN483" s="220"/>
      <c r="LO483" s="220"/>
      <c r="LP483" s="220"/>
      <c r="LQ483" s="220"/>
      <c r="LR483" s="220"/>
      <c r="LS483" s="220"/>
      <c r="LT483" s="220"/>
      <c r="LU483" s="220"/>
      <c r="LV483" s="220"/>
      <c r="LW483" s="220"/>
      <c r="LX483" s="220"/>
      <c r="LY483" s="220"/>
      <c r="LZ483" s="220"/>
      <c r="MA483" s="220"/>
      <c r="MB483" s="220"/>
      <c r="MC483" s="220"/>
      <c r="MD483" s="220"/>
      <c r="ME483" s="220"/>
      <c r="MF483" s="220"/>
      <c r="MG483" s="220"/>
      <c r="MH483" s="220"/>
      <c r="MI483" s="220"/>
      <c r="MJ483" s="220"/>
      <c r="MK483" s="220"/>
      <c r="ML483" s="220"/>
      <c r="MM483" s="220"/>
      <c r="MN483" s="220"/>
      <c r="MO483" s="220"/>
      <c r="MP483" s="220"/>
      <c r="MQ483" s="220"/>
      <c r="MR483" s="220"/>
      <c r="MS483" s="220"/>
      <c r="MT483" s="220"/>
      <c r="MU483" s="220"/>
      <c r="MV483" s="220"/>
      <c r="MW483" s="220"/>
      <c r="MX483" s="220"/>
      <c r="MY483" s="220"/>
      <c r="MZ483" s="220"/>
      <c r="NA483" s="220"/>
      <c r="NB483" s="220"/>
      <c r="NC483" s="220"/>
      <c r="ND483" s="220"/>
      <c r="NE483" s="220"/>
      <c r="NF483" s="220"/>
      <c r="NG483" s="220"/>
      <c r="NH483" s="220"/>
      <c r="NI483" s="220"/>
      <c r="NJ483" s="220"/>
      <c r="NK483" s="220"/>
      <c r="NL483" s="220"/>
      <c r="NM483" s="220"/>
      <c r="NN483" s="220"/>
      <c r="NO483" s="220"/>
      <c r="NP483" s="220"/>
      <c r="NQ483" s="220"/>
      <c r="NR483" s="220"/>
      <c r="NS483" s="220"/>
      <c r="NT483" s="220"/>
      <c r="NU483" s="220"/>
      <c r="NV483" s="220"/>
      <c r="NW483" s="220"/>
      <c r="NX483" s="220"/>
      <c r="NY483" s="220"/>
      <c r="NZ483" s="220"/>
      <c r="OA483" s="220"/>
      <c r="OB483" s="220"/>
      <c r="OC483" s="220"/>
      <c r="OD483" s="220"/>
      <c r="OE483" s="220"/>
      <c r="OF483" s="220"/>
      <c r="OG483" s="220"/>
      <c r="OH483" s="220"/>
      <c r="OI483" s="220"/>
      <c r="OJ483" s="220"/>
      <c r="OK483" s="220"/>
      <c r="OL483" s="220"/>
      <c r="OM483" s="220"/>
      <c r="ON483" s="220"/>
      <c r="OO483" s="220"/>
      <c r="OP483" s="220"/>
      <c r="OQ483" s="220"/>
      <c r="OR483" s="220"/>
      <c r="OS483" s="220"/>
      <c r="OT483" s="220"/>
      <c r="OU483" s="220"/>
      <c r="OV483" s="220"/>
      <c r="OW483" s="220"/>
      <c r="OX483" s="220"/>
      <c r="OY483" s="220"/>
      <c r="OZ483" s="220"/>
      <c r="PA483" s="220"/>
      <c r="PB483" s="220"/>
      <c r="PC483" s="220"/>
      <c r="PD483" s="220"/>
      <c r="PE483" s="220"/>
      <c r="PF483" s="220"/>
      <c r="PG483" s="220"/>
      <c r="PH483" s="220"/>
      <c r="PI483" s="220"/>
      <c r="PJ483" s="220"/>
      <c r="PK483" s="220"/>
      <c r="PL483" s="220"/>
      <c r="PM483" s="220"/>
      <c r="PN483" s="220"/>
      <c r="PO483" s="220"/>
      <c r="PP483" s="220"/>
      <c r="PQ483" s="220"/>
      <c r="PR483" s="220"/>
      <c r="PS483" s="220"/>
      <c r="PT483" s="220"/>
      <c r="PU483" s="220"/>
      <c r="PV483" s="220"/>
      <c r="PW483" s="220"/>
      <c r="PX483" s="220"/>
      <c r="PY483" s="220"/>
      <c r="PZ483" s="220"/>
      <c r="QA483" s="220"/>
      <c r="QB483" s="220"/>
      <c r="QC483" s="220"/>
      <c r="QD483" s="220"/>
      <c r="QE483" s="220"/>
      <c r="QF483" s="220"/>
      <c r="QG483" s="220"/>
      <c r="QH483" s="220"/>
      <c r="QI483" s="220"/>
      <c r="QJ483" s="220"/>
      <c r="QK483" s="220"/>
      <c r="QL483" s="220"/>
      <c r="QM483" s="220"/>
      <c r="QN483" s="220"/>
      <c r="QO483" s="220"/>
      <c r="QP483" s="220"/>
      <c r="QQ483" s="220"/>
      <c r="QR483" s="220"/>
      <c r="QS483" s="220"/>
      <c r="QT483" s="220"/>
      <c r="QU483" s="220"/>
      <c r="QV483" s="220"/>
      <c r="QW483" s="220"/>
      <c r="QX483" s="220"/>
      <c r="QY483" s="220"/>
      <c r="QZ483" s="220"/>
      <c r="RA483" s="220"/>
      <c r="RB483" s="220"/>
      <c r="RC483" s="220"/>
      <c r="RD483" s="220"/>
      <c r="RE483" s="220"/>
      <c r="RF483" s="220"/>
      <c r="RG483" s="220"/>
      <c r="RH483" s="220"/>
      <c r="RI483" s="220"/>
      <c r="RJ483" s="220"/>
      <c r="RK483" s="220"/>
      <c r="RL483" s="220"/>
      <c r="RM483" s="220"/>
      <c r="RN483" s="220"/>
      <c r="RO483" s="220"/>
      <c r="RP483" s="220"/>
      <c r="RQ483" s="220"/>
      <c r="RR483" s="220"/>
      <c r="RS483" s="220"/>
      <c r="RT483" s="220"/>
      <c r="RU483" s="220"/>
      <c r="RV483" s="220"/>
      <c r="RW483" s="220"/>
      <c r="RX483" s="220"/>
      <c r="RY483" s="220"/>
      <c r="RZ483" s="220"/>
      <c r="SA483" s="220"/>
      <c r="SB483" s="220"/>
      <c r="SC483" s="220"/>
      <c r="SD483" s="220"/>
      <c r="SE483" s="220"/>
      <c r="SF483" s="220"/>
      <c r="SG483" s="220"/>
      <c r="SH483" s="220"/>
      <c r="SI483" s="220"/>
      <c r="SJ483" s="220"/>
      <c r="SK483" s="220"/>
      <c r="SL483" s="220"/>
      <c r="SM483" s="220"/>
      <c r="SN483" s="220"/>
      <c r="SO483" s="220"/>
      <c r="SP483" s="220"/>
      <c r="SQ483" s="220"/>
      <c r="SR483" s="220"/>
      <c r="SS483" s="220"/>
      <c r="ST483" s="220"/>
      <c r="SU483" s="220"/>
      <c r="SV483" s="220"/>
      <c r="SW483" s="220"/>
      <c r="SX483" s="220"/>
      <c r="SY483" s="220"/>
      <c r="SZ483" s="220"/>
      <c r="TA483" s="220"/>
      <c r="TB483" s="220"/>
      <c r="TC483" s="220"/>
      <c r="TD483" s="220"/>
      <c r="TE483" s="220"/>
      <c r="TF483" s="220"/>
      <c r="TG483" s="220"/>
      <c r="TH483" s="220"/>
      <c r="TI483" s="220"/>
      <c r="TJ483" s="220"/>
      <c r="TK483" s="220"/>
      <c r="TL483" s="220"/>
      <c r="TM483" s="220"/>
      <c r="TN483" s="220"/>
      <c r="TO483" s="220"/>
      <c r="TP483" s="220"/>
      <c r="TQ483" s="220"/>
      <c r="TR483" s="220"/>
      <c r="TS483" s="220"/>
      <c r="TT483" s="220"/>
      <c r="TU483" s="220"/>
      <c r="TV483" s="220"/>
      <c r="TW483" s="220"/>
      <c r="TX483" s="220"/>
      <c r="TY483" s="220"/>
      <c r="TZ483" s="220"/>
      <c r="UA483" s="220"/>
      <c r="UB483" s="220"/>
      <c r="UC483" s="220"/>
      <c r="UD483" s="220"/>
      <c r="UE483" s="220"/>
      <c r="UF483" s="220"/>
      <c r="UG483" s="220"/>
      <c r="UH483" s="220"/>
      <c r="UI483" s="220"/>
      <c r="UJ483" s="220"/>
      <c r="UK483" s="220"/>
      <c r="UL483" s="220"/>
      <c r="UM483" s="220"/>
      <c r="UN483" s="220"/>
      <c r="UO483" s="220"/>
      <c r="UP483" s="220"/>
      <c r="UQ483" s="220"/>
      <c r="UR483" s="220"/>
      <c r="US483" s="220"/>
      <c r="UT483" s="220"/>
      <c r="UU483" s="220"/>
      <c r="UV483" s="220"/>
      <c r="UW483" s="220"/>
      <c r="UX483" s="220"/>
      <c r="UY483" s="220"/>
      <c r="UZ483" s="220"/>
      <c r="VA483" s="220"/>
      <c r="VB483" s="220"/>
      <c r="VC483" s="220"/>
      <c r="VD483" s="220"/>
      <c r="VE483" s="220"/>
      <c r="VF483" s="220"/>
      <c r="VG483" s="220"/>
      <c r="VH483" s="220"/>
      <c r="VI483" s="220"/>
      <c r="VJ483" s="220"/>
      <c r="VK483" s="220"/>
      <c r="VL483" s="220"/>
      <c r="VM483" s="220"/>
      <c r="VN483" s="220"/>
      <c r="VO483" s="220"/>
      <c r="VP483" s="220"/>
      <c r="VQ483" s="220"/>
      <c r="VR483" s="220"/>
      <c r="VS483" s="220"/>
      <c r="VT483" s="220"/>
      <c r="VU483" s="220"/>
      <c r="VV483" s="220"/>
      <c r="VW483" s="220"/>
      <c r="VX483" s="220"/>
      <c r="VY483" s="220"/>
      <c r="VZ483" s="220"/>
      <c r="WA483" s="220"/>
      <c r="WB483" s="220"/>
      <c r="WC483" s="220"/>
      <c r="WD483" s="220"/>
      <c r="WE483" s="220"/>
      <c r="WF483" s="220"/>
      <c r="WG483" s="220"/>
      <c r="WH483" s="220"/>
      <c r="WI483" s="220"/>
      <c r="WJ483" s="220"/>
      <c r="WK483" s="220"/>
      <c r="WL483" s="220"/>
      <c r="WM483" s="220"/>
      <c r="WN483" s="220"/>
      <c r="WO483" s="220"/>
      <c r="WP483" s="220"/>
      <c r="WQ483" s="220"/>
      <c r="WR483" s="220"/>
      <c r="WS483" s="220"/>
      <c r="WT483" s="220"/>
      <c r="WU483" s="220"/>
      <c r="WV483" s="220"/>
      <c r="WW483" s="220"/>
      <c r="WX483" s="220"/>
      <c r="WY483" s="220"/>
      <c r="WZ483" s="220"/>
      <c r="XA483" s="220"/>
      <c r="XB483" s="220"/>
      <c r="XC483" s="220"/>
      <c r="XD483" s="220"/>
      <c r="XE483" s="220"/>
      <c r="XF483" s="220"/>
      <c r="XG483" s="220"/>
      <c r="XH483" s="220"/>
      <c r="XI483" s="220"/>
      <c r="XJ483" s="220"/>
      <c r="XK483" s="220"/>
      <c r="XL483" s="220"/>
      <c r="XM483" s="220"/>
      <c r="XN483" s="220"/>
      <c r="XO483" s="220"/>
      <c r="XP483" s="220"/>
      <c r="XQ483" s="220"/>
      <c r="XR483" s="220"/>
      <c r="XS483" s="220"/>
      <c r="XT483" s="220"/>
      <c r="XU483" s="220"/>
      <c r="XV483" s="220"/>
      <c r="XW483" s="220"/>
      <c r="XX483" s="220"/>
      <c r="XY483" s="220"/>
      <c r="XZ483" s="220"/>
      <c r="YA483" s="220"/>
      <c r="YB483" s="220"/>
      <c r="YC483" s="220"/>
      <c r="YD483" s="220"/>
      <c r="YE483" s="220"/>
      <c r="YF483" s="220"/>
      <c r="YG483" s="220"/>
      <c r="YH483" s="220"/>
      <c r="YI483" s="220"/>
      <c r="YJ483" s="220"/>
      <c r="YK483" s="220"/>
      <c r="YL483" s="220"/>
      <c r="YM483" s="220"/>
      <c r="YN483" s="220"/>
      <c r="YO483" s="220"/>
      <c r="YP483" s="220"/>
      <c r="YQ483" s="220"/>
      <c r="YR483" s="220"/>
      <c r="YS483" s="220"/>
      <c r="YT483" s="220"/>
      <c r="YU483" s="220"/>
      <c r="YV483" s="220"/>
      <c r="YW483" s="220"/>
      <c r="YX483" s="220"/>
      <c r="YY483" s="220"/>
      <c r="YZ483" s="220"/>
      <c r="ZA483" s="220"/>
      <c r="ZB483" s="220"/>
      <c r="ZC483" s="220"/>
      <c r="ZD483" s="220"/>
      <c r="ZE483" s="220"/>
      <c r="ZF483" s="220"/>
      <c r="ZG483" s="220"/>
      <c r="ZH483" s="220"/>
      <c r="ZI483" s="220"/>
      <c r="ZJ483" s="220"/>
      <c r="ZK483" s="220"/>
      <c r="ZL483" s="220"/>
      <c r="ZM483" s="220"/>
      <c r="ZN483" s="220"/>
      <c r="ZO483" s="220"/>
      <c r="ZP483" s="220"/>
      <c r="ZQ483" s="220"/>
      <c r="ZR483" s="220"/>
      <c r="ZS483" s="220"/>
      <c r="ZT483" s="220"/>
      <c r="ZU483" s="220"/>
      <c r="ZV483" s="220"/>
      <c r="ZW483" s="220"/>
      <c r="ZX483" s="220"/>
      <c r="ZY483" s="220"/>
      <c r="ZZ483" s="220"/>
      <c r="AAA483" s="220"/>
      <c r="AAB483" s="220"/>
      <c r="AAC483" s="220"/>
      <c r="AAD483" s="220"/>
      <c r="AAE483" s="220"/>
      <c r="AAF483" s="220"/>
      <c r="AAG483" s="220"/>
      <c r="AAH483" s="220"/>
      <c r="AAI483" s="220"/>
      <c r="AAJ483" s="220"/>
      <c r="AAK483" s="220"/>
      <c r="AAL483" s="220"/>
      <c r="AAM483" s="220"/>
      <c r="AAN483" s="220"/>
      <c r="AAO483" s="220"/>
      <c r="AAP483" s="220"/>
      <c r="AAQ483" s="220"/>
      <c r="AAR483" s="220"/>
      <c r="AAS483" s="220"/>
      <c r="AAT483" s="220"/>
      <c r="AAU483" s="220"/>
      <c r="AAV483" s="220"/>
      <c r="AAW483" s="220"/>
      <c r="AAX483" s="220"/>
      <c r="AAY483" s="220"/>
      <c r="AAZ483" s="220"/>
      <c r="ABA483" s="220"/>
      <c r="ABB483" s="220"/>
      <c r="ABC483" s="220"/>
      <c r="ABD483" s="220"/>
      <c r="ABE483" s="220"/>
      <c r="ABF483" s="220"/>
      <c r="ABG483" s="220"/>
    </row>
    <row r="484" spans="1:735" s="246" customFormat="1" ht="30" customHeight="1" x14ac:dyDescent="0.2">
      <c r="A484" s="180">
        <v>6223</v>
      </c>
      <c r="B484" s="135" t="s">
        <v>330</v>
      </c>
      <c r="C484" s="136">
        <v>515000</v>
      </c>
      <c r="D484" s="136">
        <f>515000-125000</f>
        <v>390000</v>
      </c>
      <c r="E484" s="121"/>
      <c r="F484" s="130"/>
      <c r="G484" s="120"/>
      <c r="H484" s="120"/>
      <c r="I484" s="120"/>
      <c r="J484" s="129">
        <v>175645.7</v>
      </c>
      <c r="K484" s="220"/>
      <c r="L484" s="220"/>
      <c r="M484" s="220"/>
      <c r="N484" s="220"/>
      <c r="O484" s="220"/>
      <c r="P484" s="220"/>
      <c r="Q484" s="220"/>
      <c r="R484" s="220"/>
      <c r="S484" s="220"/>
      <c r="T484" s="220"/>
      <c r="U484" s="220"/>
      <c r="V484" s="220"/>
      <c r="W484" s="220"/>
      <c r="X484" s="220"/>
      <c r="Y484" s="220"/>
      <c r="Z484" s="220"/>
      <c r="AA484" s="220"/>
      <c r="AB484" s="220"/>
      <c r="AC484" s="220"/>
      <c r="AD484" s="220"/>
      <c r="AE484" s="220"/>
      <c r="AF484" s="220"/>
      <c r="AG484" s="220"/>
      <c r="AH484" s="220"/>
      <c r="AI484" s="220"/>
      <c r="AJ484" s="220"/>
      <c r="AK484" s="220"/>
      <c r="AL484" s="220"/>
      <c r="AM484" s="220"/>
      <c r="AN484" s="220"/>
      <c r="AO484" s="220"/>
      <c r="AP484" s="220"/>
      <c r="AQ484" s="220"/>
      <c r="AR484" s="220"/>
      <c r="AS484" s="220"/>
      <c r="AT484" s="220"/>
      <c r="AU484" s="220"/>
      <c r="AV484" s="220"/>
      <c r="AW484" s="220"/>
      <c r="AX484" s="220"/>
      <c r="AY484" s="220"/>
      <c r="AZ484" s="220"/>
      <c r="BA484" s="220"/>
      <c r="BB484" s="220"/>
      <c r="BC484" s="220"/>
      <c r="BD484" s="220"/>
      <c r="BE484" s="220"/>
      <c r="BF484" s="220"/>
      <c r="BG484" s="220"/>
      <c r="BH484" s="220"/>
      <c r="BI484" s="220"/>
      <c r="BJ484" s="220"/>
      <c r="BK484" s="220"/>
      <c r="BL484" s="220"/>
      <c r="BM484" s="220"/>
      <c r="BN484" s="220"/>
      <c r="BO484" s="220"/>
      <c r="BP484" s="220"/>
      <c r="BQ484" s="220"/>
      <c r="BR484" s="220"/>
      <c r="BS484" s="220"/>
      <c r="BT484" s="220"/>
      <c r="BU484" s="220"/>
      <c r="BV484" s="220"/>
      <c r="BW484" s="220"/>
      <c r="BX484" s="220"/>
      <c r="BY484" s="220"/>
      <c r="BZ484" s="220"/>
      <c r="CA484" s="220"/>
      <c r="CB484" s="220"/>
      <c r="CC484" s="220"/>
      <c r="CD484" s="220"/>
      <c r="CE484" s="220"/>
      <c r="CF484" s="220"/>
      <c r="CG484" s="220"/>
      <c r="CH484" s="220"/>
      <c r="CI484" s="220"/>
      <c r="CJ484" s="220"/>
      <c r="CK484" s="220"/>
      <c r="CL484" s="220"/>
      <c r="CM484" s="220"/>
      <c r="CN484" s="220"/>
      <c r="CO484" s="220"/>
      <c r="CP484" s="220"/>
      <c r="CQ484" s="220"/>
      <c r="CR484" s="220"/>
      <c r="CS484" s="220"/>
      <c r="CT484" s="220"/>
      <c r="CU484" s="220"/>
      <c r="CV484" s="220"/>
      <c r="CW484" s="220"/>
      <c r="CX484" s="220"/>
      <c r="CY484" s="220"/>
      <c r="CZ484" s="220"/>
      <c r="DA484" s="220"/>
      <c r="DB484" s="220"/>
      <c r="DC484" s="220"/>
      <c r="DD484" s="220"/>
      <c r="DE484" s="220"/>
      <c r="DF484" s="220"/>
      <c r="DG484" s="220"/>
      <c r="DH484" s="220"/>
      <c r="DI484" s="220"/>
      <c r="DJ484" s="220"/>
      <c r="DK484" s="220"/>
      <c r="DL484" s="220"/>
      <c r="DM484" s="220"/>
      <c r="DN484" s="220"/>
      <c r="DO484" s="220"/>
      <c r="DP484" s="220"/>
      <c r="DQ484" s="220"/>
      <c r="DR484" s="220"/>
      <c r="DS484" s="220"/>
      <c r="DT484" s="220"/>
      <c r="DU484" s="220"/>
      <c r="DV484" s="220"/>
      <c r="DW484" s="220"/>
      <c r="DX484" s="220"/>
      <c r="DY484" s="220"/>
      <c r="DZ484" s="220"/>
      <c r="EA484" s="220"/>
      <c r="EB484" s="220"/>
      <c r="EC484" s="220"/>
      <c r="ED484" s="220"/>
      <c r="EE484" s="220"/>
      <c r="EF484" s="220"/>
      <c r="EG484" s="220"/>
      <c r="EH484" s="220"/>
      <c r="EI484" s="220"/>
      <c r="EJ484" s="220"/>
      <c r="EK484" s="220"/>
      <c r="EL484" s="220"/>
      <c r="EM484" s="220"/>
      <c r="EN484" s="220"/>
      <c r="EO484" s="220"/>
      <c r="EP484" s="220"/>
      <c r="EQ484" s="220"/>
      <c r="ER484" s="220"/>
      <c r="ES484" s="220"/>
      <c r="ET484" s="220"/>
      <c r="EU484" s="220"/>
      <c r="EV484" s="220"/>
      <c r="EW484" s="220"/>
      <c r="EX484" s="220"/>
      <c r="EY484" s="220"/>
      <c r="EZ484" s="220"/>
      <c r="FA484" s="220"/>
      <c r="FB484" s="220"/>
      <c r="FC484" s="220"/>
      <c r="FD484" s="220"/>
      <c r="FE484" s="220"/>
      <c r="FF484" s="220"/>
      <c r="FG484" s="220"/>
      <c r="FH484" s="220"/>
      <c r="FI484" s="220"/>
      <c r="FJ484" s="220"/>
      <c r="FK484" s="220"/>
      <c r="FL484" s="220"/>
      <c r="FM484" s="220"/>
      <c r="FN484" s="220"/>
      <c r="FO484" s="220"/>
      <c r="FP484" s="220"/>
      <c r="FQ484" s="220"/>
      <c r="FR484" s="220"/>
      <c r="FS484" s="220"/>
      <c r="FT484" s="220"/>
      <c r="FU484" s="220"/>
      <c r="FV484" s="220"/>
      <c r="FW484" s="220"/>
      <c r="FX484" s="220"/>
      <c r="FY484" s="220"/>
      <c r="FZ484" s="220"/>
      <c r="GA484" s="220"/>
      <c r="GB484" s="220"/>
      <c r="GC484" s="220"/>
      <c r="GD484" s="220"/>
      <c r="GE484" s="220"/>
      <c r="GF484" s="220"/>
      <c r="GG484" s="220"/>
      <c r="GH484" s="220"/>
      <c r="GI484" s="220"/>
      <c r="GJ484" s="220"/>
      <c r="GK484" s="220"/>
      <c r="GL484" s="220"/>
      <c r="GM484" s="220"/>
      <c r="GN484" s="220"/>
      <c r="GO484" s="220"/>
      <c r="GP484" s="220"/>
      <c r="GQ484" s="220"/>
      <c r="GR484" s="220"/>
      <c r="GS484" s="220"/>
      <c r="GT484" s="220"/>
      <c r="GU484" s="220"/>
      <c r="GV484" s="220"/>
      <c r="GW484" s="220"/>
      <c r="GX484" s="220"/>
      <c r="GY484" s="220"/>
      <c r="GZ484" s="220"/>
      <c r="HA484" s="220"/>
      <c r="HB484" s="220"/>
      <c r="HC484" s="220"/>
      <c r="HD484" s="220"/>
      <c r="HE484" s="220"/>
      <c r="HF484" s="220"/>
      <c r="HG484" s="220"/>
      <c r="HH484" s="220"/>
      <c r="HI484" s="220"/>
      <c r="HJ484" s="220"/>
      <c r="HK484" s="220"/>
      <c r="HL484" s="220"/>
      <c r="HM484" s="220"/>
      <c r="HN484" s="220"/>
      <c r="HO484" s="220"/>
      <c r="HP484" s="220"/>
      <c r="HQ484" s="220"/>
      <c r="HR484" s="220"/>
      <c r="HS484" s="220"/>
      <c r="HT484" s="220"/>
      <c r="HU484" s="220"/>
      <c r="HV484" s="220"/>
      <c r="HW484" s="220"/>
      <c r="HX484" s="220"/>
      <c r="HY484" s="220"/>
      <c r="HZ484" s="220"/>
      <c r="IA484" s="220"/>
      <c r="IB484" s="220"/>
      <c r="IC484" s="220"/>
      <c r="ID484" s="220"/>
      <c r="IE484" s="220"/>
      <c r="IF484" s="220"/>
      <c r="IG484" s="220"/>
      <c r="IH484" s="220"/>
      <c r="II484" s="220"/>
      <c r="IJ484" s="220"/>
      <c r="IK484" s="220"/>
      <c r="IL484" s="220"/>
      <c r="IM484" s="220"/>
      <c r="IN484" s="220"/>
      <c r="IO484" s="220"/>
      <c r="IP484" s="220"/>
      <c r="IQ484" s="220"/>
      <c r="IR484" s="220"/>
      <c r="IS484" s="220"/>
      <c r="IT484" s="220"/>
      <c r="IU484" s="220"/>
      <c r="IV484" s="220"/>
      <c r="IW484" s="220"/>
      <c r="IX484" s="220"/>
      <c r="IY484" s="220"/>
      <c r="IZ484" s="220"/>
      <c r="JA484" s="220"/>
      <c r="JB484" s="220"/>
      <c r="JC484" s="220"/>
      <c r="JD484" s="220"/>
      <c r="JE484" s="220"/>
      <c r="JF484" s="220"/>
      <c r="JG484" s="220"/>
      <c r="JH484" s="220"/>
      <c r="JI484" s="220"/>
      <c r="JJ484" s="220"/>
      <c r="JK484" s="220"/>
      <c r="JL484" s="220"/>
      <c r="JM484" s="220"/>
      <c r="JN484" s="220"/>
      <c r="JO484" s="220"/>
      <c r="JP484" s="220"/>
      <c r="JQ484" s="220"/>
      <c r="JR484" s="220"/>
      <c r="JS484" s="220"/>
      <c r="JT484" s="220"/>
      <c r="JU484" s="220"/>
      <c r="JV484" s="220"/>
      <c r="JW484" s="220"/>
      <c r="JX484" s="220"/>
      <c r="JY484" s="220"/>
      <c r="JZ484" s="220"/>
      <c r="KA484" s="220"/>
      <c r="KB484" s="220"/>
      <c r="KC484" s="220"/>
      <c r="KD484" s="220"/>
      <c r="KE484" s="220"/>
      <c r="KF484" s="220"/>
      <c r="KG484" s="220"/>
      <c r="KH484" s="220"/>
      <c r="KI484" s="220"/>
      <c r="KJ484" s="220"/>
      <c r="KK484" s="220"/>
      <c r="KL484" s="220"/>
      <c r="KM484" s="220"/>
      <c r="KN484" s="220"/>
      <c r="KO484" s="220"/>
      <c r="KP484" s="220"/>
      <c r="KQ484" s="220"/>
      <c r="KR484" s="220"/>
      <c r="KS484" s="220"/>
      <c r="KT484" s="220"/>
      <c r="KU484" s="220"/>
      <c r="KV484" s="220"/>
      <c r="KW484" s="220"/>
      <c r="KX484" s="220"/>
      <c r="KY484" s="220"/>
      <c r="KZ484" s="220"/>
      <c r="LA484" s="220"/>
      <c r="LB484" s="220"/>
      <c r="LC484" s="220"/>
      <c r="LD484" s="220"/>
      <c r="LE484" s="220"/>
      <c r="LF484" s="220"/>
      <c r="LG484" s="220"/>
      <c r="LH484" s="220"/>
      <c r="LI484" s="220"/>
      <c r="LJ484" s="220"/>
      <c r="LK484" s="220"/>
      <c r="LL484" s="220"/>
      <c r="LM484" s="220"/>
      <c r="LN484" s="220"/>
      <c r="LO484" s="220"/>
      <c r="LP484" s="220"/>
      <c r="LQ484" s="220"/>
      <c r="LR484" s="220"/>
      <c r="LS484" s="220"/>
      <c r="LT484" s="220"/>
      <c r="LU484" s="220"/>
      <c r="LV484" s="220"/>
      <c r="LW484" s="220"/>
      <c r="LX484" s="220"/>
      <c r="LY484" s="220"/>
      <c r="LZ484" s="220"/>
      <c r="MA484" s="220"/>
      <c r="MB484" s="220"/>
      <c r="MC484" s="220"/>
      <c r="MD484" s="220"/>
      <c r="ME484" s="220"/>
      <c r="MF484" s="220"/>
      <c r="MG484" s="220"/>
      <c r="MH484" s="220"/>
      <c r="MI484" s="220"/>
      <c r="MJ484" s="220"/>
      <c r="MK484" s="220"/>
      <c r="ML484" s="220"/>
      <c r="MM484" s="220"/>
      <c r="MN484" s="220"/>
      <c r="MO484" s="220"/>
      <c r="MP484" s="220"/>
      <c r="MQ484" s="220"/>
      <c r="MR484" s="220"/>
      <c r="MS484" s="220"/>
      <c r="MT484" s="220"/>
      <c r="MU484" s="220"/>
      <c r="MV484" s="220"/>
      <c r="MW484" s="220"/>
      <c r="MX484" s="220"/>
      <c r="MY484" s="220"/>
      <c r="MZ484" s="220"/>
      <c r="NA484" s="220"/>
      <c r="NB484" s="220"/>
      <c r="NC484" s="220"/>
      <c r="ND484" s="220"/>
      <c r="NE484" s="220"/>
      <c r="NF484" s="220"/>
      <c r="NG484" s="220"/>
      <c r="NH484" s="220"/>
      <c r="NI484" s="220"/>
      <c r="NJ484" s="220"/>
      <c r="NK484" s="220"/>
      <c r="NL484" s="220"/>
      <c r="NM484" s="220"/>
      <c r="NN484" s="220"/>
      <c r="NO484" s="220"/>
      <c r="NP484" s="220"/>
      <c r="NQ484" s="220"/>
      <c r="NR484" s="220"/>
      <c r="NS484" s="220"/>
      <c r="NT484" s="220"/>
      <c r="NU484" s="220"/>
      <c r="NV484" s="220"/>
      <c r="NW484" s="220"/>
      <c r="NX484" s="220"/>
      <c r="NY484" s="220"/>
      <c r="NZ484" s="220"/>
      <c r="OA484" s="220"/>
      <c r="OB484" s="220"/>
      <c r="OC484" s="220"/>
      <c r="OD484" s="220"/>
      <c r="OE484" s="220"/>
      <c r="OF484" s="220"/>
      <c r="OG484" s="220"/>
      <c r="OH484" s="220"/>
      <c r="OI484" s="220"/>
      <c r="OJ484" s="220"/>
      <c r="OK484" s="220"/>
      <c r="OL484" s="220"/>
      <c r="OM484" s="220"/>
      <c r="ON484" s="220"/>
      <c r="OO484" s="220"/>
      <c r="OP484" s="220"/>
      <c r="OQ484" s="220"/>
      <c r="OR484" s="220"/>
      <c r="OS484" s="220"/>
      <c r="OT484" s="220"/>
      <c r="OU484" s="220"/>
      <c r="OV484" s="220"/>
      <c r="OW484" s="220"/>
      <c r="OX484" s="220"/>
      <c r="OY484" s="220"/>
      <c r="OZ484" s="220"/>
      <c r="PA484" s="220"/>
      <c r="PB484" s="220"/>
      <c r="PC484" s="220"/>
      <c r="PD484" s="220"/>
      <c r="PE484" s="220"/>
      <c r="PF484" s="220"/>
      <c r="PG484" s="220"/>
      <c r="PH484" s="220"/>
      <c r="PI484" s="220"/>
      <c r="PJ484" s="220"/>
      <c r="PK484" s="220"/>
      <c r="PL484" s="220"/>
      <c r="PM484" s="220"/>
      <c r="PN484" s="220"/>
      <c r="PO484" s="220"/>
      <c r="PP484" s="220"/>
      <c r="PQ484" s="220"/>
      <c r="PR484" s="220"/>
      <c r="PS484" s="220"/>
      <c r="PT484" s="220"/>
      <c r="PU484" s="220"/>
      <c r="PV484" s="220"/>
      <c r="PW484" s="220"/>
      <c r="PX484" s="220"/>
      <c r="PY484" s="220"/>
      <c r="PZ484" s="220"/>
      <c r="QA484" s="220"/>
      <c r="QB484" s="220"/>
      <c r="QC484" s="220"/>
      <c r="QD484" s="220"/>
      <c r="QE484" s="220"/>
      <c r="QF484" s="220"/>
      <c r="QG484" s="220"/>
      <c r="QH484" s="220"/>
      <c r="QI484" s="220"/>
      <c r="QJ484" s="220"/>
      <c r="QK484" s="220"/>
      <c r="QL484" s="220"/>
      <c r="QM484" s="220"/>
      <c r="QN484" s="220"/>
      <c r="QO484" s="220"/>
      <c r="QP484" s="220"/>
      <c r="QQ484" s="220"/>
      <c r="QR484" s="220"/>
      <c r="QS484" s="220"/>
      <c r="QT484" s="220"/>
      <c r="QU484" s="220"/>
      <c r="QV484" s="220"/>
      <c r="QW484" s="220"/>
      <c r="QX484" s="220"/>
      <c r="QY484" s="220"/>
      <c r="QZ484" s="220"/>
      <c r="RA484" s="220"/>
      <c r="RB484" s="220"/>
      <c r="RC484" s="220"/>
      <c r="RD484" s="220"/>
      <c r="RE484" s="220"/>
      <c r="RF484" s="220"/>
      <c r="RG484" s="220"/>
      <c r="RH484" s="220"/>
      <c r="RI484" s="220"/>
      <c r="RJ484" s="220"/>
      <c r="RK484" s="220"/>
      <c r="RL484" s="220"/>
      <c r="RM484" s="220"/>
      <c r="RN484" s="220"/>
      <c r="RO484" s="220"/>
      <c r="RP484" s="220"/>
      <c r="RQ484" s="220"/>
      <c r="RR484" s="220"/>
      <c r="RS484" s="220"/>
      <c r="RT484" s="220"/>
      <c r="RU484" s="220"/>
      <c r="RV484" s="220"/>
      <c r="RW484" s="220"/>
      <c r="RX484" s="220"/>
      <c r="RY484" s="220"/>
      <c r="RZ484" s="220"/>
      <c r="SA484" s="220"/>
      <c r="SB484" s="220"/>
      <c r="SC484" s="220"/>
      <c r="SD484" s="220"/>
      <c r="SE484" s="220"/>
      <c r="SF484" s="220"/>
      <c r="SG484" s="220"/>
      <c r="SH484" s="220"/>
      <c r="SI484" s="220"/>
      <c r="SJ484" s="220"/>
      <c r="SK484" s="220"/>
      <c r="SL484" s="220"/>
      <c r="SM484" s="220"/>
      <c r="SN484" s="220"/>
      <c r="SO484" s="220"/>
      <c r="SP484" s="220"/>
      <c r="SQ484" s="220"/>
      <c r="SR484" s="220"/>
      <c r="SS484" s="220"/>
      <c r="ST484" s="220"/>
      <c r="SU484" s="220"/>
      <c r="SV484" s="220"/>
      <c r="SW484" s="220"/>
      <c r="SX484" s="220"/>
      <c r="SY484" s="220"/>
      <c r="SZ484" s="220"/>
      <c r="TA484" s="220"/>
      <c r="TB484" s="220"/>
      <c r="TC484" s="220"/>
      <c r="TD484" s="220"/>
      <c r="TE484" s="220"/>
      <c r="TF484" s="220"/>
      <c r="TG484" s="220"/>
      <c r="TH484" s="220"/>
      <c r="TI484" s="220"/>
      <c r="TJ484" s="220"/>
      <c r="TK484" s="220"/>
      <c r="TL484" s="220"/>
      <c r="TM484" s="220"/>
      <c r="TN484" s="220"/>
      <c r="TO484" s="220"/>
      <c r="TP484" s="220"/>
      <c r="TQ484" s="220"/>
      <c r="TR484" s="220"/>
      <c r="TS484" s="220"/>
      <c r="TT484" s="220"/>
      <c r="TU484" s="220"/>
      <c r="TV484" s="220"/>
      <c r="TW484" s="220"/>
      <c r="TX484" s="220"/>
      <c r="TY484" s="220"/>
      <c r="TZ484" s="220"/>
      <c r="UA484" s="220"/>
      <c r="UB484" s="220"/>
      <c r="UC484" s="220"/>
      <c r="UD484" s="220"/>
      <c r="UE484" s="220"/>
      <c r="UF484" s="220"/>
      <c r="UG484" s="220"/>
      <c r="UH484" s="220"/>
      <c r="UI484" s="220"/>
      <c r="UJ484" s="220"/>
      <c r="UK484" s="220"/>
      <c r="UL484" s="220"/>
      <c r="UM484" s="220"/>
      <c r="UN484" s="220"/>
      <c r="UO484" s="220"/>
      <c r="UP484" s="220"/>
      <c r="UQ484" s="220"/>
      <c r="UR484" s="220"/>
      <c r="US484" s="220"/>
      <c r="UT484" s="220"/>
      <c r="UU484" s="220"/>
      <c r="UV484" s="220"/>
      <c r="UW484" s="220"/>
      <c r="UX484" s="220"/>
      <c r="UY484" s="220"/>
      <c r="UZ484" s="220"/>
      <c r="VA484" s="220"/>
      <c r="VB484" s="220"/>
      <c r="VC484" s="220"/>
      <c r="VD484" s="220"/>
      <c r="VE484" s="220"/>
      <c r="VF484" s="220"/>
      <c r="VG484" s="220"/>
      <c r="VH484" s="220"/>
      <c r="VI484" s="220"/>
      <c r="VJ484" s="220"/>
      <c r="VK484" s="220"/>
      <c r="VL484" s="220"/>
      <c r="VM484" s="220"/>
      <c r="VN484" s="220"/>
      <c r="VO484" s="220"/>
      <c r="VP484" s="220"/>
      <c r="VQ484" s="220"/>
      <c r="VR484" s="220"/>
      <c r="VS484" s="220"/>
      <c r="VT484" s="220"/>
      <c r="VU484" s="220"/>
      <c r="VV484" s="220"/>
      <c r="VW484" s="220"/>
      <c r="VX484" s="220"/>
      <c r="VY484" s="220"/>
      <c r="VZ484" s="220"/>
      <c r="WA484" s="220"/>
      <c r="WB484" s="220"/>
      <c r="WC484" s="220"/>
      <c r="WD484" s="220"/>
      <c r="WE484" s="220"/>
      <c r="WF484" s="220"/>
      <c r="WG484" s="220"/>
      <c r="WH484" s="220"/>
      <c r="WI484" s="220"/>
      <c r="WJ484" s="220"/>
      <c r="WK484" s="220"/>
      <c r="WL484" s="220"/>
      <c r="WM484" s="220"/>
      <c r="WN484" s="220"/>
      <c r="WO484" s="220"/>
      <c r="WP484" s="220"/>
      <c r="WQ484" s="220"/>
      <c r="WR484" s="220"/>
      <c r="WS484" s="220"/>
      <c r="WT484" s="220"/>
      <c r="WU484" s="220"/>
      <c r="WV484" s="220"/>
      <c r="WW484" s="220"/>
      <c r="WX484" s="220"/>
      <c r="WY484" s="220"/>
      <c r="WZ484" s="220"/>
      <c r="XA484" s="220"/>
      <c r="XB484" s="220"/>
      <c r="XC484" s="220"/>
      <c r="XD484" s="220"/>
      <c r="XE484" s="220"/>
      <c r="XF484" s="220"/>
      <c r="XG484" s="220"/>
      <c r="XH484" s="220"/>
      <c r="XI484" s="220"/>
      <c r="XJ484" s="220"/>
      <c r="XK484" s="220"/>
      <c r="XL484" s="220"/>
      <c r="XM484" s="220"/>
      <c r="XN484" s="220"/>
      <c r="XO484" s="220"/>
      <c r="XP484" s="220"/>
      <c r="XQ484" s="220"/>
      <c r="XR484" s="220"/>
      <c r="XS484" s="220"/>
      <c r="XT484" s="220"/>
      <c r="XU484" s="220"/>
      <c r="XV484" s="220"/>
      <c r="XW484" s="220"/>
      <c r="XX484" s="220"/>
      <c r="XY484" s="220"/>
      <c r="XZ484" s="220"/>
      <c r="YA484" s="220"/>
      <c r="YB484" s="220"/>
      <c r="YC484" s="220"/>
      <c r="YD484" s="220"/>
      <c r="YE484" s="220"/>
      <c r="YF484" s="220"/>
      <c r="YG484" s="220"/>
      <c r="YH484" s="220"/>
      <c r="YI484" s="220"/>
      <c r="YJ484" s="220"/>
      <c r="YK484" s="220"/>
      <c r="YL484" s="220"/>
      <c r="YM484" s="220"/>
      <c r="YN484" s="220"/>
      <c r="YO484" s="220"/>
      <c r="YP484" s="220"/>
      <c r="YQ484" s="220"/>
      <c r="YR484" s="220"/>
      <c r="YS484" s="220"/>
      <c r="YT484" s="220"/>
      <c r="YU484" s="220"/>
      <c r="YV484" s="220"/>
      <c r="YW484" s="220"/>
      <c r="YX484" s="220"/>
      <c r="YY484" s="220"/>
      <c r="YZ484" s="220"/>
      <c r="ZA484" s="220"/>
      <c r="ZB484" s="220"/>
      <c r="ZC484" s="220"/>
      <c r="ZD484" s="220"/>
      <c r="ZE484" s="220"/>
      <c r="ZF484" s="220"/>
      <c r="ZG484" s="220"/>
      <c r="ZH484" s="220"/>
      <c r="ZI484" s="220"/>
      <c r="ZJ484" s="220"/>
      <c r="ZK484" s="220"/>
      <c r="ZL484" s="220"/>
      <c r="ZM484" s="220"/>
      <c r="ZN484" s="220"/>
      <c r="ZO484" s="220"/>
      <c r="ZP484" s="220"/>
      <c r="ZQ484" s="220"/>
      <c r="ZR484" s="220"/>
      <c r="ZS484" s="220"/>
      <c r="ZT484" s="220"/>
      <c r="ZU484" s="220"/>
      <c r="ZV484" s="220"/>
      <c r="ZW484" s="220"/>
      <c r="ZX484" s="220"/>
      <c r="ZY484" s="220"/>
      <c r="ZZ484" s="220"/>
      <c r="AAA484" s="220"/>
      <c r="AAB484" s="220"/>
      <c r="AAC484" s="220"/>
      <c r="AAD484" s="220"/>
      <c r="AAE484" s="220"/>
      <c r="AAF484" s="220"/>
      <c r="AAG484" s="220"/>
      <c r="AAH484" s="220"/>
      <c r="AAI484" s="220"/>
      <c r="AAJ484" s="220"/>
      <c r="AAK484" s="220"/>
      <c r="AAL484" s="220"/>
      <c r="AAM484" s="220"/>
      <c r="AAN484" s="220"/>
      <c r="AAO484" s="220"/>
      <c r="AAP484" s="220"/>
      <c r="AAQ484" s="220"/>
      <c r="AAR484" s="220"/>
      <c r="AAS484" s="220"/>
      <c r="AAT484" s="220"/>
      <c r="AAU484" s="220"/>
      <c r="AAV484" s="220"/>
      <c r="AAW484" s="220"/>
      <c r="AAX484" s="220"/>
      <c r="AAY484" s="220"/>
      <c r="AAZ484" s="220"/>
      <c r="ABA484" s="220"/>
      <c r="ABB484" s="220"/>
      <c r="ABC484" s="220"/>
      <c r="ABD484" s="220"/>
      <c r="ABE484" s="220"/>
      <c r="ABF484" s="220"/>
      <c r="ABG484" s="220"/>
    </row>
    <row r="485" spans="1:735" s="220" customFormat="1" ht="30" customHeight="1" thickBot="1" x14ac:dyDescent="0.25">
      <c r="A485" s="245"/>
      <c r="B485" s="168"/>
      <c r="C485" s="117"/>
      <c r="D485" s="117"/>
      <c r="E485" s="117"/>
      <c r="F485" s="117"/>
      <c r="G485" s="151"/>
      <c r="H485" s="151"/>
      <c r="I485" s="151"/>
      <c r="J485" s="129"/>
    </row>
    <row r="486" spans="1:735" s="3" customFormat="1" ht="30" customHeight="1" thickBot="1" x14ac:dyDescent="0.25">
      <c r="A486" s="244"/>
      <c r="B486" s="243" t="s">
        <v>329</v>
      </c>
      <c r="C486" s="242">
        <f>SUM(C487,C489)</f>
        <v>7038417</v>
      </c>
      <c r="D486" s="242">
        <f>SUM(D487,D489)</f>
        <v>6727658</v>
      </c>
      <c r="E486" s="181"/>
      <c r="F486" s="317"/>
      <c r="G486" s="571"/>
      <c r="H486" s="181"/>
      <c r="I486" s="181"/>
      <c r="J486" s="129">
        <v>3188210.5</v>
      </c>
      <c r="K486" s="220"/>
      <c r="L486" s="220"/>
      <c r="M486" s="220"/>
      <c r="N486" s="220"/>
      <c r="O486" s="220"/>
      <c r="P486" s="220"/>
      <c r="Q486" s="220"/>
      <c r="R486" s="220"/>
      <c r="S486" s="220"/>
      <c r="T486" s="220"/>
      <c r="U486" s="220"/>
      <c r="V486" s="220"/>
      <c r="W486" s="220"/>
      <c r="X486" s="220"/>
      <c r="Y486" s="220"/>
      <c r="Z486" s="220"/>
      <c r="AA486" s="220"/>
      <c r="AB486" s="220"/>
      <c r="AC486" s="220"/>
      <c r="AD486" s="220"/>
      <c r="AE486" s="220"/>
      <c r="AF486" s="220"/>
      <c r="AG486" s="220"/>
      <c r="AH486" s="220"/>
      <c r="AI486" s="220"/>
      <c r="AJ486" s="220"/>
      <c r="AK486" s="220"/>
      <c r="AL486" s="220"/>
      <c r="AM486" s="220"/>
      <c r="AN486" s="220"/>
      <c r="AO486" s="220"/>
      <c r="AP486" s="220"/>
      <c r="AQ486" s="220"/>
      <c r="AR486" s="220"/>
      <c r="AS486" s="220"/>
      <c r="AT486" s="220"/>
      <c r="AU486" s="220"/>
      <c r="AV486" s="220"/>
      <c r="AW486" s="220"/>
      <c r="AX486" s="220"/>
      <c r="AY486" s="220"/>
      <c r="AZ486" s="220"/>
      <c r="BA486" s="220"/>
      <c r="BB486" s="220"/>
      <c r="BC486" s="220"/>
      <c r="BD486" s="220"/>
      <c r="BE486" s="220"/>
      <c r="BF486" s="220"/>
      <c r="BG486" s="220"/>
      <c r="BH486" s="220"/>
      <c r="BI486" s="220"/>
      <c r="BJ486" s="220"/>
      <c r="BK486" s="220"/>
      <c r="BL486" s="220"/>
      <c r="BM486" s="220"/>
      <c r="BN486" s="220"/>
      <c r="BO486" s="220"/>
      <c r="BP486" s="220"/>
      <c r="BQ486" s="220"/>
      <c r="BR486" s="220"/>
      <c r="BS486" s="220"/>
      <c r="BT486" s="220"/>
      <c r="BU486" s="220"/>
      <c r="BV486" s="220"/>
      <c r="BW486" s="220"/>
      <c r="BX486" s="220"/>
      <c r="BY486" s="220"/>
      <c r="BZ486" s="220"/>
      <c r="CA486" s="220"/>
      <c r="CB486" s="220"/>
      <c r="CC486" s="220"/>
      <c r="CD486" s="220"/>
      <c r="CE486" s="220"/>
      <c r="CF486" s="220"/>
      <c r="CG486" s="220"/>
      <c r="CH486" s="220"/>
      <c r="CI486" s="220"/>
      <c r="CJ486" s="220"/>
      <c r="CK486" s="220"/>
      <c r="CL486" s="220"/>
      <c r="CM486" s="220"/>
      <c r="CN486" s="220"/>
      <c r="CO486" s="220"/>
      <c r="CP486" s="220"/>
      <c r="CQ486" s="220"/>
      <c r="CR486" s="220"/>
      <c r="CS486" s="220"/>
      <c r="CT486" s="220"/>
      <c r="CU486" s="220"/>
      <c r="CV486" s="220"/>
      <c r="CW486" s="220"/>
      <c r="CX486" s="220"/>
      <c r="CY486" s="220"/>
      <c r="CZ486" s="220"/>
      <c r="DA486" s="220"/>
      <c r="DB486" s="220"/>
      <c r="DC486" s="220"/>
      <c r="DD486" s="220"/>
      <c r="DE486" s="220"/>
      <c r="DF486" s="220"/>
      <c r="DG486" s="220"/>
      <c r="DH486" s="220"/>
      <c r="DI486" s="220"/>
      <c r="DJ486" s="220"/>
      <c r="DK486" s="220"/>
      <c r="DL486" s="220"/>
      <c r="DM486" s="220"/>
      <c r="DN486" s="220"/>
      <c r="DO486" s="220"/>
      <c r="DP486" s="220"/>
      <c r="DQ486" s="220"/>
      <c r="DR486" s="220"/>
      <c r="DS486" s="220"/>
      <c r="DT486" s="220"/>
      <c r="DU486" s="220"/>
      <c r="DV486" s="220"/>
      <c r="DW486" s="220"/>
      <c r="DX486" s="220"/>
      <c r="DY486" s="220"/>
      <c r="DZ486" s="220"/>
      <c r="EA486" s="220"/>
      <c r="EB486" s="220"/>
      <c r="EC486" s="220"/>
      <c r="ED486" s="220"/>
      <c r="EE486" s="220"/>
      <c r="EF486" s="220"/>
      <c r="EG486" s="220"/>
      <c r="EH486" s="220"/>
      <c r="EI486" s="220"/>
      <c r="EJ486" s="220"/>
      <c r="EK486" s="220"/>
      <c r="EL486" s="220"/>
      <c r="EM486" s="220"/>
      <c r="EN486" s="220"/>
      <c r="EO486" s="220"/>
      <c r="EP486" s="220"/>
      <c r="EQ486" s="220"/>
      <c r="ER486" s="220"/>
      <c r="ES486" s="220"/>
      <c r="ET486" s="220"/>
      <c r="EU486" s="220"/>
      <c r="EV486" s="220"/>
      <c r="EW486" s="220"/>
      <c r="EX486" s="220"/>
      <c r="EY486" s="220"/>
      <c r="EZ486" s="220"/>
      <c r="FA486" s="220"/>
      <c r="FB486" s="220"/>
      <c r="FC486" s="220"/>
      <c r="FD486" s="220"/>
      <c r="FE486" s="220"/>
      <c r="FF486" s="220"/>
      <c r="FG486" s="220"/>
      <c r="FH486" s="220"/>
      <c r="FI486" s="220"/>
      <c r="FJ486" s="220"/>
      <c r="FK486" s="220"/>
      <c r="FL486" s="220"/>
      <c r="FM486" s="220"/>
      <c r="FN486" s="220"/>
      <c r="FO486" s="220"/>
      <c r="FP486" s="220"/>
      <c r="FQ486" s="220"/>
      <c r="FR486" s="220"/>
      <c r="FS486" s="220"/>
      <c r="FT486" s="220"/>
      <c r="FU486" s="220"/>
      <c r="FV486" s="220"/>
      <c r="FW486" s="220"/>
      <c r="FX486" s="220"/>
      <c r="FY486" s="220"/>
      <c r="FZ486" s="220"/>
      <c r="GA486" s="220"/>
      <c r="GB486" s="220"/>
      <c r="GC486" s="220"/>
      <c r="GD486" s="220"/>
      <c r="GE486" s="220"/>
      <c r="GF486" s="220"/>
      <c r="GG486" s="220"/>
      <c r="GH486" s="220"/>
      <c r="GI486" s="220"/>
      <c r="GJ486" s="220"/>
      <c r="GK486" s="220"/>
      <c r="GL486" s="220"/>
      <c r="GM486" s="220"/>
      <c r="GN486" s="220"/>
      <c r="GO486" s="220"/>
      <c r="GP486" s="220"/>
      <c r="GQ486" s="220"/>
      <c r="GR486" s="220"/>
      <c r="GS486" s="220"/>
      <c r="GT486" s="220"/>
      <c r="GU486" s="220"/>
      <c r="GV486" s="220"/>
      <c r="GW486" s="220"/>
      <c r="GX486" s="220"/>
      <c r="GY486" s="220"/>
      <c r="GZ486" s="220"/>
      <c r="HA486" s="220"/>
      <c r="HB486" s="220"/>
      <c r="HC486" s="220"/>
      <c r="HD486" s="220"/>
      <c r="HE486" s="220"/>
      <c r="HF486" s="220"/>
      <c r="HG486" s="220"/>
      <c r="HH486" s="220"/>
      <c r="HI486" s="220"/>
      <c r="HJ486" s="220"/>
      <c r="HK486" s="220"/>
      <c r="HL486" s="220"/>
      <c r="HM486" s="220"/>
      <c r="HN486" s="220"/>
      <c r="HO486" s="220"/>
      <c r="HP486" s="220"/>
      <c r="HQ486" s="220"/>
      <c r="HR486" s="220"/>
      <c r="HS486" s="220"/>
      <c r="HT486" s="220"/>
      <c r="HU486" s="220"/>
      <c r="HV486" s="220"/>
      <c r="HW486" s="220"/>
      <c r="HX486" s="220"/>
      <c r="HY486" s="220"/>
      <c r="HZ486" s="220"/>
      <c r="IA486" s="220"/>
      <c r="IB486" s="220"/>
      <c r="IC486" s="220"/>
      <c r="ID486" s="220"/>
      <c r="IE486" s="220"/>
      <c r="IF486" s="220"/>
      <c r="IG486" s="220"/>
      <c r="IH486" s="220"/>
      <c r="II486" s="220"/>
      <c r="IJ486" s="220"/>
      <c r="IK486" s="220"/>
      <c r="IL486" s="220"/>
      <c r="IM486" s="220"/>
      <c r="IN486" s="220"/>
      <c r="IO486" s="220"/>
      <c r="IP486" s="220"/>
      <c r="IQ486" s="220"/>
      <c r="IR486" s="220"/>
      <c r="IS486" s="220"/>
      <c r="IT486" s="220"/>
      <c r="IU486" s="220"/>
      <c r="IV486" s="220"/>
      <c r="IW486" s="220"/>
      <c r="IX486" s="220"/>
      <c r="IY486" s="220"/>
      <c r="IZ486" s="220"/>
      <c r="JA486" s="220"/>
      <c r="JB486" s="220"/>
      <c r="JC486" s="220"/>
      <c r="JD486" s="220"/>
      <c r="JE486" s="220"/>
      <c r="JF486" s="220"/>
      <c r="JG486" s="220"/>
      <c r="JH486" s="220"/>
      <c r="JI486" s="220"/>
      <c r="JJ486" s="220"/>
      <c r="JK486" s="220"/>
      <c r="JL486" s="220"/>
      <c r="JM486" s="220"/>
      <c r="JN486" s="220"/>
      <c r="JO486" s="220"/>
      <c r="JP486" s="220"/>
      <c r="JQ486" s="220"/>
      <c r="JR486" s="220"/>
      <c r="JS486" s="220"/>
      <c r="JT486" s="220"/>
      <c r="JU486" s="220"/>
      <c r="JV486" s="220"/>
      <c r="JW486" s="220"/>
      <c r="JX486" s="220"/>
      <c r="JY486" s="220"/>
      <c r="JZ486" s="220"/>
      <c r="KA486" s="220"/>
      <c r="KB486" s="220"/>
      <c r="KC486" s="220"/>
      <c r="KD486" s="220"/>
      <c r="KE486" s="220"/>
      <c r="KF486" s="220"/>
      <c r="KG486" s="220"/>
      <c r="KH486" s="220"/>
      <c r="KI486" s="220"/>
      <c r="KJ486" s="220"/>
      <c r="KK486" s="220"/>
      <c r="KL486" s="220"/>
      <c r="KM486" s="220"/>
      <c r="KN486" s="220"/>
      <c r="KO486" s="220"/>
      <c r="KP486" s="220"/>
      <c r="KQ486" s="220"/>
      <c r="KR486" s="220"/>
      <c r="KS486" s="220"/>
      <c r="KT486" s="220"/>
      <c r="KU486" s="220"/>
      <c r="KV486" s="220"/>
      <c r="KW486" s="220"/>
      <c r="KX486" s="220"/>
      <c r="KY486" s="220"/>
      <c r="KZ486" s="220"/>
      <c r="LA486" s="220"/>
      <c r="LB486" s="220"/>
      <c r="LC486" s="220"/>
      <c r="LD486" s="220"/>
      <c r="LE486" s="220"/>
      <c r="LF486" s="220"/>
      <c r="LG486" s="220"/>
      <c r="LH486" s="220"/>
      <c r="LI486" s="220"/>
      <c r="LJ486" s="220"/>
      <c r="LK486" s="220"/>
      <c r="LL486" s="220"/>
      <c r="LM486" s="220"/>
      <c r="LN486" s="220"/>
      <c r="LO486" s="220"/>
      <c r="LP486" s="220"/>
      <c r="LQ486" s="220"/>
      <c r="LR486" s="220"/>
      <c r="LS486" s="220"/>
      <c r="LT486" s="220"/>
      <c r="LU486" s="220"/>
      <c r="LV486" s="220"/>
      <c r="LW486" s="220"/>
      <c r="LX486" s="220"/>
      <c r="LY486" s="220"/>
      <c r="LZ486" s="220"/>
      <c r="MA486" s="220"/>
      <c r="MB486" s="220"/>
      <c r="MC486" s="220"/>
      <c r="MD486" s="220"/>
      <c r="ME486" s="220"/>
      <c r="MF486" s="220"/>
      <c r="MG486" s="220"/>
      <c r="MH486" s="220"/>
      <c r="MI486" s="220"/>
      <c r="MJ486" s="220"/>
      <c r="MK486" s="220"/>
      <c r="ML486" s="220"/>
      <c r="MM486" s="220"/>
      <c r="MN486" s="220"/>
      <c r="MO486" s="220"/>
      <c r="MP486" s="220"/>
      <c r="MQ486" s="220"/>
      <c r="MR486" s="220"/>
      <c r="MS486" s="220"/>
      <c r="MT486" s="220"/>
      <c r="MU486" s="220"/>
      <c r="MV486" s="220"/>
      <c r="MW486" s="220"/>
      <c r="MX486" s="220"/>
      <c r="MY486" s="220"/>
      <c r="MZ486" s="220"/>
      <c r="NA486" s="220"/>
      <c r="NB486" s="220"/>
      <c r="NC486" s="220"/>
      <c r="ND486" s="220"/>
      <c r="NE486" s="220"/>
      <c r="NF486" s="220"/>
      <c r="NG486" s="220"/>
      <c r="NH486" s="220"/>
      <c r="NI486" s="220"/>
      <c r="NJ486" s="220"/>
      <c r="NK486" s="220"/>
      <c r="NL486" s="220"/>
      <c r="NM486" s="220"/>
      <c r="NN486" s="220"/>
      <c r="NO486" s="220"/>
      <c r="NP486" s="220"/>
      <c r="NQ486" s="220"/>
      <c r="NR486" s="220"/>
      <c r="NS486" s="220"/>
      <c r="NT486" s="220"/>
      <c r="NU486" s="220"/>
      <c r="NV486" s="220"/>
      <c r="NW486" s="220"/>
      <c r="NX486" s="220"/>
      <c r="NY486" s="220"/>
      <c r="NZ486" s="220"/>
      <c r="OA486" s="220"/>
      <c r="OB486" s="220"/>
      <c r="OC486" s="220"/>
      <c r="OD486" s="220"/>
      <c r="OE486" s="220"/>
      <c r="OF486" s="220"/>
      <c r="OG486" s="220"/>
      <c r="OH486" s="220"/>
      <c r="OI486" s="220"/>
      <c r="OJ486" s="220"/>
      <c r="OK486" s="220"/>
      <c r="OL486" s="220"/>
      <c r="OM486" s="220"/>
      <c r="ON486" s="220"/>
      <c r="OO486" s="220"/>
      <c r="OP486" s="220"/>
      <c r="OQ486" s="220"/>
      <c r="OR486" s="220"/>
      <c r="OS486" s="220"/>
      <c r="OT486" s="220"/>
      <c r="OU486" s="220"/>
      <c r="OV486" s="220"/>
      <c r="OW486" s="220"/>
      <c r="OX486" s="220"/>
      <c r="OY486" s="220"/>
      <c r="OZ486" s="220"/>
      <c r="PA486" s="220"/>
      <c r="PB486" s="220"/>
      <c r="PC486" s="220"/>
      <c r="PD486" s="220"/>
      <c r="PE486" s="220"/>
      <c r="PF486" s="220"/>
      <c r="PG486" s="220"/>
      <c r="PH486" s="220"/>
      <c r="PI486" s="220"/>
      <c r="PJ486" s="220"/>
      <c r="PK486" s="220"/>
      <c r="PL486" s="220"/>
      <c r="PM486" s="220"/>
      <c r="PN486" s="220"/>
      <c r="PO486" s="220"/>
      <c r="PP486" s="220"/>
      <c r="PQ486" s="220"/>
      <c r="PR486" s="220"/>
      <c r="PS486" s="220"/>
      <c r="PT486" s="220"/>
      <c r="PU486" s="220"/>
      <c r="PV486" s="220"/>
      <c r="PW486" s="220"/>
      <c r="PX486" s="220"/>
      <c r="PY486" s="220"/>
      <c r="PZ486" s="220"/>
      <c r="QA486" s="220"/>
      <c r="QB486" s="220"/>
      <c r="QC486" s="220"/>
      <c r="QD486" s="220"/>
      <c r="QE486" s="220"/>
      <c r="QF486" s="220"/>
      <c r="QG486" s="220"/>
      <c r="QH486" s="220"/>
      <c r="QI486" s="220"/>
      <c r="QJ486" s="220"/>
      <c r="QK486" s="220"/>
      <c r="QL486" s="220"/>
      <c r="QM486" s="220"/>
      <c r="QN486" s="220"/>
      <c r="QO486" s="220"/>
      <c r="QP486" s="220"/>
      <c r="QQ486" s="220"/>
      <c r="QR486" s="220"/>
      <c r="QS486" s="220"/>
      <c r="QT486" s="220"/>
      <c r="QU486" s="220"/>
      <c r="QV486" s="220"/>
      <c r="QW486" s="220"/>
      <c r="QX486" s="220"/>
      <c r="QY486" s="220"/>
      <c r="QZ486" s="220"/>
      <c r="RA486" s="220"/>
      <c r="RB486" s="220"/>
      <c r="RC486" s="220"/>
      <c r="RD486" s="220"/>
      <c r="RE486" s="220"/>
      <c r="RF486" s="220"/>
      <c r="RG486" s="220"/>
      <c r="RH486" s="220"/>
      <c r="RI486" s="220"/>
      <c r="RJ486" s="220"/>
      <c r="RK486" s="220"/>
      <c r="RL486" s="220"/>
      <c r="RM486" s="220"/>
      <c r="RN486" s="220"/>
      <c r="RO486" s="220"/>
      <c r="RP486" s="220"/>
      <c r="RQ486" s="220"/>
      <c r="RR486" s="220"/>
      <c r="RS486" s="220"/>
      <c r="RT486" s="220"/>
      <c r="RU486" s="220"/>
      <c r="RV486" s="220"/>
      <c r="RW486" s="220"/>
      <c r="RX486" s="220"/>
      <c r="RY486" s="220"/>
      <c r="RZ486" s="220"/>
      <c r="SA486" s="220"/>
      <c r="SB486" s="220"/>
      <c r="SC486" s="220"/>
      <c r="SD486" s="220"/>
      <c r="SE486" s="220"/>
      <c r="SF486" s="220"/>
      <c r="SG486" s="220"/>
      <c r="SH486" s="220"/>
      <c r="SI486" s="220"/>
      <c r="SJ486" s="220"/>
      <c r="SK486" s="220"/>
      <c r="SL486" s="220"/>
      <c r="SM486" s="220"/>
      <c r="SN486" s="220"/>
      <c r="SO486" s="220"/>
      <c r="SP486" s="220"/>
      <c r="SQ486" s="220"/>
      <c r="SR486" s="220"/>
      <c r="SS486" s="220"/>
      <c r="ST486" s="220"/>
      <c r="SU486" s="220"/>
      <c r="SV486" s="220"/>
      <c r="SW486" s="220"/>
      <c r="SX486" s="220"/>
      <c r="SY486" s="220"/>
      <c r="SZ486" s="220"/>
      <c r="TA486" s="220"/>
      <c r="TB486" s="220"/>
      <c r="TC486" s="220"/>
      <c r="TD486" s="220"/>
      <c r="TE486" s="220"/>
      <c r="TF486" s="220"/>
      <c r="TG486" s="220"/>
      <c r="TH486" s="220"/>
      <c r="TI486" s="220"/>
      <c r="TJ486" s="220"/>
      <c r="TK486" s="220"/>
      <c r="TL486" s="220"/>
      <c r="TM486" s="220"/>
      <c r="TN486" s="220"/>
      <c r="TO486" s="220"/>
      <c r="TP486" s="220"/>
      <c r="TQ486" s="220"/>
      <c r="TR486" s="220"/>
      <c r="TS486" s="220"/>
      <c r="TT486" s="220"/>
      <c r="TU486" s="220"/>
      <c r="TV486" s="220"/>
      <c r="TW486" s="220"/>
      <c r="TX486" s="220"/>
      <c r="TY486" s="220"/>
      <c r="TZ486" s="220"/>
      <c r="UA486" s="220"/>
      <c r="UB486" s="220"/>
      <c r="UC486" s="220"/>
      <c r="UD486" s="220"/>
      <c r="UE486" s="220"/>
      <c r="UF486" s="220"/>
      <c r="UG486" s="220"/>
      <c r="UH486" s="220"/>
      <c r="UI486" s="220"/>
      <c r="UJ486" s="220"/>
      <c r="UK486" s="220"/>
      <c r="UL486" s="220"/>
      <c r="UM486" s="220"/>
      <c r="UN486" s="220"/>
      <c r="UO486" s="220"/>
      <c r="UP486" s="220"/>
      <c r="UQ486" s="220"/>
      <c r="UR486" s="220"/>
      <c r="US486" s="220"/>
      <c r="UT486" s="220"/>
      <c r="UU486" s="220"/>
      <c r="UV486" s="220"/>
      <c r="UW486" s="220"/>
      <c r="UX486" s="220"/>
      <c r="UY486" s="220"/>
      <c r="UZ486" s="220"/>
      <c r="VA486" s="220"/>
      <c r="VB486" s="220"/>
      <c r="VC486" s="220"/>
      <c r="VD486" s="220"/>
      <c r="VE486" s="220"/>
      <c r="VF486" s="220"/>
      <c r="VG486" s="220"/>
      <c r="VH486" s="220"/>
      <c r="VI486" s="220"/>
      <c r="VJ486" s="220"/>
      <c r="VK486" s="220"/>
      <c r="VL486" s="220"/>
      <c r="VM486" s="220"/>
      <c r="VN486" s="220"/>
      <c r="VO486" s="220"/>
      <c r="VP486" s="220"/>
      <c r="VQ486" s="220"/>
      <c r="VR486" s="220"/>
      <c r="VS486" s="220"/>
      <c r="VT486" s="220"/>
      <c r="VU486" s="220"/>
      <c r="VV486" s="220"/>
      <c r="VW486" s="220"/>
      <c r="VX486" s="220"/>
      <c r="VY486" s="220"/>
      <c r="VZ486" s="220"/>
      <c r="WA486" s="220"/>
      <c r="WB486" s="220"/>
      <c r="WC486" s="220"/>
      <c r="WD486" s="220"/>
      <c r="WE486" s="220"/>
      <c r="WF486" s="220"/>
      <c r="WG486" s="220"/>
      <c r="WH486" s="220"/>
      <c r="WI486" s="220"/>
      <c r="WJ486" s="220"/>
      <c r="WK486" s="220"/>
      <c r="WL486" s="220"/>
      <c r="WM486" s="220"/>
      <c r="WN486" s="220"/>
      <c r="WO486" s="220"/>
      <c r="WP486" s="220"/>
      <c r="WQ486" s="220"/>
      <c r="WR486" s="220"/>
      <c r="WS486" s="220"/>
      <c r="WT486" s="220"/>
      <c r="WU486" s="220"/>
      <c r="WV486" s="220"/>
      <c r="WW486" s="220"/>
      <c r="WX486" s="220"/>
      <c r="WY486" s="220"/>
      <c r="WZ486" s="220"/>
      <c r="XA486" s="220"/>
      <c r="XB486" s="220"/>
      <c r="XC486" s="220"/>
      <c r="XD486" s="220"/>
      <c r="XE486" s="220"/>
      <c r="XF486" s="220"/>
      <c r="XG486" s="220"/>
      <c r="XH486" s="220"/>
      <c r="XI486" s="220"/>
      <c r="XJ486" s="220"/>
      <c r="XK486" s="220"/>
      <c r="XL486" s="220"/>
      <c r="XM486" s="220"/>
      <c r="XN486" s="220"/>
      <c r="XO486" s="220"/>
      <c r="XP486" s="220"/>
      <c r="XQ486" s="220"/>
      <c r="XR486" s="220"/>
      <c r="XS486" s="220"/>
      <c r="XT486" s="220"/>
      <c r="XU486" s="220"/>
      <c r="XV486" s="220"/>
      <c r="XW486" s="220"/>
      <c r="XX486" s="220"/>
      <c r="XY486" s="220"/>
      <c r="XZ486" s="220"/>
      <c r="YA486" s="220"/>
      <c r="YB486" s="220"/>
      <c r="YC486" s="220"/>
      <c r="YD486" s="220"/>
      <c r="YE486" s="220"/>
      <c r="YF486" s="220"/>
      <c r="YG486" s="220"/>
      <c r="YH486" s="220"/>
      <c r="YI486" s="220"/>
      <c r="YJ486" s="220"/>
      <c r="YK486" s="220"/>
      <c r="YL486" s="220"/>
      <c r="YM486" s="220"/>
      <c r="YN486" s="220"/>
      <c r="YO486" s="220"/>
      <c r="YP486" s="220"/>
      <c r="YQ486" s="220"/>
      <c r="YR486" s="220"/>
      <c r="YS486" s="220"/>
      <c r="YT486" s="220"/>
      <c r="YU486" s="220"/>
      <c r="YV486" s="220"/>
      <c r="YW486" s="220"/>
      <c r="YX486" s="220"/>
      <c r="YY486" s="220"/>
      <c r="YZ486" s="220"/>
      <c r="ZA486" s="220"/>
      <c r="ZB486" s="220"/>
      <c r="ZC486" s="220"/>
      <c r="ZD486" s="220"/>
      <c r="ZE486" s="220"/>
      <c r="ZF486" s="220"/>
      <c r="ZG486" s="220"/>
      <c r="ZH486" s="220"/>
      <c r="ZI486" s="220"/>
      <c r="ZJ486" s="220"/>
      <c r="ZK486" s="220"/>
      <c r="ZL486" s="220"/>
      <c r="ZM486" s="220"/>
      <c r="ZN486" s="220"/>
      <c r="ZO486" s="220"/>
      <c r="ZP486" s="220"/>
      <c r="ZQ486" s="220"/>
      <c r="ZR486" s="220"/>
      <c r="ZS486" s="220"/>
      <c r="ZT486" s="220"/>
      <c r="ZU486" s="220"/>
      <c r="ZV486" s="220"/>
      <c r="ZW486" s="220"/>
      <c r="ZX486" s="220"/>
      <c r="ZY486" s="220"/>
      <c r="ZZ486" s="220"/>
      <c r="AAA486" s="220"/>
      <c r="AAB486" s="220"/>
      <c r="AAC486" s="220"/>
      <c r="AAD486" s="220"/>
      <c r="AAE486" s="220"/>
      <c r="AAF486" s="220"/>
      <c r="AAG486" s="220"/>
      <c r="AAH486" s="220"/>
      <c r="AAI486" s="220"/>
      <c r="AAJ486" s="220"/>
      <c r="AAK486" s="220"/>
      <c r="AAL486" s="220"/>
      <c r="AAM486" s="220"/>
      <c r="AAN486" s="220"/>
      <c r="AAO486" s="220"/>
      <c r="AAP486" s="220"/>
      <c r="AAQ486" s="220"/>
      <c r="AAR486" s="220"/>
      <c r="AAS486" s="220"/>
      <c r="AAT486" s="220"/>
      <c r="AAU486" s="220"/>
      <c r="AAV486" s="220"/>
      <c r="AAW486" s="220"/>
      <c r="AAX486" s="220"/>
      <c r="AAY486" s="220"/>
      <c r="AAZ486" s="220"/>
      <c r="ABA486" s="220"/>
      <c r="ABB486" s="220"/>
      <c r="ABC486" s="220"/>
      <c r="ABD486" s="220"/>
      <c r="ABE486" s="220"/>
      <c r="ABF486" s="220"/>
      <c r="ABG486" s="220"/>
    </row>
    <row r="487" spans="1:735" s="3" customFormat="1" ht="30" customHeight="1" x14ac:dyDescent="0.2">
      <c r="A487" s="180">
        <v>2223</v>
      </c>
      <c r="B487" s="180" t="s">
        <v>328</v>
      </c>
      <c r="C487" s="120">
        <f>C488</f>
        <v>76000</v>
      </c>
      <c r="D487" s="120">
        <f>D488</f>
        <v>50000</v>
      </c>
      <c r="E487" s="120"/>
      <c r="F487" s="126"/>
      <c r="G487" s="120"/>
      <c r="H487" s="120"/>
      <c r="I487" s="120"/>
      <c r="J487" s="6">
        <v>42000</v>
      </c>
    </row>
    <row r="488" spans="1:735" s="3" customFormat="1" ht="30" customHeight="1" x14ac:dyDescent="0.2">
      <c r="A488" s="180"/>
      <c r="B488" s="240" t="s">
        <v>327</v>
      </c>
      <c r="C488" s="126">
        <v>76000</v>
      </c>
      <c r="D488" s="126">
        <f>76000+(-6000-16000-4000)</f>
        <v>50000</v>
      </c>
      <c r="E488" s="206"/>
      <c r="F488" s="206"/>
      <c r="G488" s="126"/>
      <c r="H488" s="126"/>
      <c r="I488" s="126"/>
      <c r="J488" s="14">
        <v>42000</v>
      </c>
    </row>
    <row r="489" spans="1:735" s="3" customFormat="1" ht="30" customHeight="1" x14ac:dyDescent="0.2">
      <c r="A489" s="180">
        <v>2292</v>
      </c>
      <c r="B489" s="180" t="s">
        <v>326</v>
      </c>
      <c r="C489" s="120">
        <f>SUM(C490:C494)</f>
        <v>6962417</v>
      </c>
      <c r="D489" s="120">
        <f>SUM(D490:D494)</f>
        <v>6677658</v>
      </c>
      <c r="E489" s="120"/>
      <c r="F489" s="126"/>
      <c r="G489" s="120"/>
      <c r="H489" s="120"/>
      <c r="I489" s="120"/>
      <c r="J489" s="14">
        <v>3075210.5</v>
      </c>
    </row>
    <row r="490" spans="1:735" s="3" customFormat="1" ht="30" customHeight="1" x14ac:dyDescent="0.2">
      <c r="A490" s="180"/>
      <c r="B490" s="237" t="s">
        <v>325</v>
      </c>
      <c r="C490" s="126">
        <v>1112417</v>
      </c>
      <c r="D490" s="126">
        <v>1112417</v>
      </c>
      <c r="E490" s="130"/>
      <c r="F490" s="130"/>
      <c r="G490" s="126"/>
      <c r="H490" s="126"/>
      <c r="I490" s="126"/>
      <c r="J490" s="14">
        <v>556208.5</v>
      </c>
    </row>
    <row r="491" spans="1:735" s="3" customFormat="1" ht="30" customHeight="1" x14ac:dyDescent="0.2">
      <c r="A491" s="180"/>
      <c r="B491" s="237" t="s">
        <v>324</v>
      </c>
      <c r="C491" s="126">
        <v>5100000</v>
      </c>
      <c r="D491" s="126">
        <f>5100000-59000+118000-60000</f>
        <v>5099000</v>
      </c>
      <c r="E491" s="130"/>
      <c r="F491" s="130"/>
      <c r="G491" s="126"/>
      <c r="H491" s="126"/>
      <c r="I491" s="126"/>
      <c r="J491" s="6">
        <v>2519002</v>
      </c>
    </row>
    <row r="492" spans="1:735" s="236" customFormat="1" ht="30" customHeight="1" x14ac:dyDescent="0.2">
      <c r="A492" s="180"/>
      <c r="B492" s="179" t="s">
        <v>323</v>
      </c>
      <c r="C492" s="126">
        <v>200000</v>
      </c>
      <c r="D492" s="126">
        <f>200000-55360</f>
        <v>144640</v>
      </c>
      <c r="E492" s="126"/>
      <c r="F492" s="126"/>
      <c r="G492" s="126"/>
      <c r="H492" s="126"/>
      <c r="I492" s="126"/>
      <c r="J492" s="129">
        <v>0</v>
      </c>
    </row>
    <row r="493" spans="1:735" s="3" customFormat="1" ht="30" customHeight="1" x14ac:dyDescent="0.2">
      <c r="A493" s="235"/>
      <c r="B493" s="234" t="s">
        <v>1012</v>
      </c>
      <c r="C493" s="130">
        <v>0</v>
      </c>
      <c r="D493" s="130">
        <v>60000</v>
      </c>
      <c r="E493" s="130"/>
      <c r="F493" s="130"/>
      <c r="G493" s="126"/>
      <c r="H493" s="126"/>
      <c r="I493" s="126"/>
      <c r="J493" s="129">
        <v>0</v>
      </c>
    </row>
    <row r="494" spans="1:735" s="3" customFormat="1" ht="30" customHeight="1" x14ac:dyDescent="0.2">
      <c r="A494" s="235"/>
      <c r="B494" s="234" t="s">
        <v>322</v>
      </c>
      <c r="C494" s="130">
        <v>550000</v>
      </c>
      <c r="D494" s="130">
        <f>550000-150000-138399</f>
        <v>261601</v>
      </c>
      <c r="E494" s="130"/>
      <c r="F494" s="130"/>
      <c r="G494" s="126"/>
      <c r="H494" s="126"/>
      <c r="I494" s="126"/>
      <c r="J494" s="129">
        <v>0</v>
      </c>
    </row>
    <row r="495" spans="1:735" s="3" customFormat="1" ht="30" customHeight="1" thickBot="1" x14ac:dyDescent="0.25">
      <c r="A495" s="232"/>
      <c r="B495" s="231"/>
      <c r="C495" s="151"/>
      <c r="D495" s="151"/>
      <c r="E495" s="117"/>
      <c r="F495" s="117"/>
      <c r="G495" s="151"/>
      <c r="H495" s="151"/>
      <c r="I495" s="151"/>
      <c r="J495" s="129"/>
    </row>
    <row r="496" spans="1:735" s="3" customFormat="1" ht="30" customHeight="1" thickBot="1" x14ac:dyDescent="0.35">
      <c r="A496" s="230"/>
      <c r="B496" s="139" t="s">
        <v>321</v>
      </c>
      <c r="C496" s="176">
        <f>SUM(C497:C498)</f>
        <v>112000</v>
      </c>
      <c r="D496" s="176">
        <f>SUM(D497:D498)</f>
        <v>112000</v>
      </c>
      <c r="E496" s="181"/>
      <c r="F496" s="317"/>
      <c r="G496" s="571"/>
      <c r="H496" s="181"/>
      <c r="I496" s="181"/>
      <c r="J496" s="129">
        <v>25748</v>
      </c>
    </row>
    <row r="497" spans="1:52" s="3" customFormat="1" ht="30" customHeight="1" x14ac:dyDescent="0.2">
      <c r="A497" s="180">
        <v>2223</v>
      </c>
      <c r="B497" s="123" t="s">
        <v>320</v>
      </c>
      <c r="C497" s="120">
        <v>100000</v>
      </c>
      <c r="D497" s="120">
        <v>100000</v>
      </c>
      <c r="E497" s="120"/>
      <c r="F497" s="126"/>
      <c r="G497" s="120"/>
      <c r="H497" s="120"/>
      <c r="I497" s="120"/>
      <c r="J497" s="162">
        <v>24801</v>
      </c>
    </row>
    <row r="498" spans="1:52" s="3" customFormat="1" ht="30" customHeight="1" x14ac:dyDescent="0.2">
      <c r="A498" s="180">
        <v>6171</v>
      </c>
      <c r="B498" s="229" t="s">
        <v>319</v>
      </c>
      <c r="C498" s="120">
        <v>12000</v>
      </c>
      <c r="D498" s="120">
        <v>12000</v>
      </c>
      <c r="E498" s="211"/>
      <c r="F498" s="152"/>
      <c r="G498" s="120"/>
      <c r="H498" s="120"/>
      <c r="I498" s="120"/>
      <c r="J498" s="162">
        <v>947</v>
      </c>
    </row>
    <row r="499" spans="1:52" s="3" customFormat="1" ht="30" customHeight="1" thickBot="1" x14ac:dyDescent="0.25">
      <c r="A499" s="228"/>
      <c r="B499" s="227"/>
      <c r="C499" s="117"/>
      <c r="D499" s="117"/>
      <c r="E499" s="520"/>
      <c r="F499" s="520"/>
      <c r="G499" s="151"/>
      <c r="H499" s="151"/>
      <c r="I499" s="151"/>
      <c r="J499" s="14"/>
    </row>
    <row r="500" spans="1:52" s="3" customFormat="1" ht="30" customHeight="1" thickBot="1" x14ac:dyDescent="0.35">
      <c r="A500" s="226"/>
      <c r="B500" s="225" t="s">
        <v>318</v>
      </c>
      <c r="C500" s="35">
        <f>C501</f>
        <v>500000</v>
      </c>
      <c r="D500" s="35">
        <f>D501</f>
        <v>740709.65</v>
      </c>
      <c r="E500" s="181"/>
      <c r="F500" s="710"/>
      <c r="G500" s="571"/>
      <c r="H500" s="181"/>
      <c r="I500" s="181"/>
      <c r="J500" s="129">
        <v>0</v>
      </c>
      <c r="K500" s="220"/>
      <c r="L500" s="220"/>
      <c r="M500" s="220"/>
      <c r="N500" s="220"/>
      <c r="O500" s="220"/>
      <c r="P500" s="220"/>
      <c r="Q500" s="220"/>
      <c r="R500" s="220"/>
      <c r="S500" s="220"/>
      <c r="T500" s="220"/>
      <c r="U500" s="220"/>
      <c r="V500" s="220"/>
      <c r="W500" s="220"/>
      <c r="X500" s="220"/>
      <c r="Y500" s="220"/>
      <c r="Z500" s="220"/>
      <c r="AA500" s="220"/>
      <c r="AB500" s="220"/>
      <c r="AC500" s="220"/>
      <c r="AD500" s="220"/>
      <c r="AE500" s="220"/>
      <c r="AF500" s="220"/>
      <c r="AG500" s="220"/>
      <c r="AH500" s="220"/>
      <c r="AI500" s="220"/>
      <c r="AJ500" s="220"/>
      <c r="AK500" s="220"/>
      <c r="AL500" s="220"/>
      <c r="AM500" s="220"/>
      <c r="AN500" s="220"/>
      <c r="AO500" s="220"/>
      <c r="AP500" s="220"/>
      <c r="AQ500" s="220"/>
      <c r="AR500" s="220"/>
      <c r="AS500" s="220"/>
      <c r="AT500" s="220"/>
      <c r="AU500" s="220"/>
      <c r="AV500" s="220"/>
      <c r="AW500" s="220"/>
      <c r="AX500" s="220"/>
      <c r="AY500" s="220"/>
      <c r="AZ500" s="220"/>
    </row>
    <row r="501" spans="1:52" s="3" customFormat="1" ht="30" customHeight="1" x14ac:dyDescent="0.2">
      <c r="A501" s="123">
        <v>6114</v>
      </c>
      <c r="B501" s="19" t="s">
        <v>317</v>
      </c>
      <c r="C501" s="18">
        <v>500000</v>
      </c>
      <c r="D501" s="18">
        <f>500000+(702000-499000)+(698024.75-659315.1-1000)</f>
        <v>740709.65</v>
      </c>
      <c r="E501" s="122"/>
      <c r="F501" s="127"/>
      <c r="G501" s="120"/>
      <c r="H501" s="120"/>
      <c r="I501" s="120"/>
      <c r="J501" s="162">
        <v>0</v>
      </c>
      <c r="K501" s="220"/>
      <c r="L501" s="220"/>
      <c r="M501" s="220"/>
      <c r="N501" s="220"/>
      <c r="O501" s="220"/>
      <c r="P501" s="220"/>
      <c r="Q501" s="220"/>
      <c r="R501" s="220"/>
      <c r="S501" s="220"/>
      <c r="T501" s="220"/>
      <c r="U501" s="220"/>
      <c r="V501" s="220"/>
      <c r="W501" s="220"/>
      <c r="X501" s="220"/>
      <c r="Y501" s="220"/>
      <c r="Z501" s="220"/>
      <c r="AA501" s="220"/>
      <c r="AB501" s="220"/>
      <c r="AC501" s="220"/>
      <c r="AD501" s="220"/>
      <c r="AE501" s="220"/>
      <c r="AF501" s="220"/>
      <c r="AG501" s="220"/>
      <c r="AH501" s="220"/>
      <c r="AI501" s="220"/>
      <c r="AJ501" s="220"/>
      <c r="AK501" s="220"/>
      <c r="AL501" s="220"/>
      <c r="AM501" s="220"/>
      <c r="AN501" s="220"/>
      <c r="AO501" s="220"/>
      <c r="AP501" s="220"/>
      <c r="AQ501" s="220"/>
      <c r="AR501" s="220"/>
      <c r="AS501" s="220"/>
      <c r="AT501" s="220"/>
      <c r="AU501" s="220"/>
      <c r="AV501" s="220"/>
      <c r="AW501" s="220"/>
      <c r="AX501" s="220"/>
      <c r="AY501" s="220"/>
      <c r="AZ501" s="220"/>
    </row>
    <row r="502" spans="1:52" s="3" customFormat="1" ht="30" customHeight="1" thickBot="1" x14ac:dyDescent="0.25">
      <c r="A502" s="141"/>
      <c r="B502" s="222"/>
      <c r="C502" s="221"/>
      <c r="D502" s="221"/>
      <c r="E502" s="521"/>
      <c r="F502" s="152"/>
      <c r="G502" s="486"/>
      <c r="H502" s="486"/>
      <c r="I502" s="486"/>
      <c r="J502" s="162"/>
      <c r="K502" s="220"/>
      <c r="L502" s="220"/>
      <c r="M502" s="220"/>
      <c r="N502" s="220"/>
      <c r="O502" s="220"/>
      <c r="P502" s="220"/>
      <c r="Q502" s="220"/>
      <c r="R502" s="220"/>
      <c r="S502" s="220"/>
      <c r="T502" s="220"/>
      <c r="U502" s="220"/>
      <c r="V502" s="220"/>
      <c r="W502" s="220"/>
      <c r="X502" s="220"/>
      <c r="Y502" s="220"/>
      <c r="Z502" s="220"/>
      <c r="AA502" s="220"/>
      <c r="AB502" s="220"/>
      <c r="AC502" s="220"/>
      <c r="AD502" s="220"/>
      <c r="AE502" s="220"/>
      <c r="AF502" s="220"/>
      <c r="AG502" s="220"/>
      <c r="AH502" s="220"/>
      <c r="AI502" s="220"/>
      <c r="AJ502" s="220"/>
      <c r="AK502" s="220"/>
      <c r="AL502" s="220"/>
      <c r="AM502" s="220"/>
      <c r="AN502" s="220"/>
      <c r="AO502" s="220"/>
      <c r="AP502" s="220"/>
      <c r="AQ502" s="220"/>
      <c r="AR502" s="220"/>
      <c r="AS502" s="220"/>
      <c r="AT502" s="220"/>
      <c r="AU502" s="220"/>
      <c r="AV502" s="220"/>
      <c r="AW502" s="220"/>
      <c r="AX502" s="220"/>
      <c r="AY502" s="220"/>
      <c r="AZ502" s="220"/>
    </row>
    <row r="503" spans="1:52" s="3" customFormat="1" ht="30" customHeight="1" thickBot="1" x14ac:dyDescent="0.35">
      <c r="A503" s="219"/>
      <c r="B503" s="218" t="s">
        <v>316</v>
      </c>
      <c r="C503" s="35">
        <f>C504+C556+C579</f>
        <v>165843398.80000001</v>
      </c>
      <c r="D503" s="35">
        <f>D504+D556+D579</f>
        <v>144564840.49000001</v>
      </c>
      <c r="E503" s="242"/>
      <c r="F503" s="705"/>
      <c r="G503" s="571"/>
      <c r="H503" s="181"/>
      <c r="I503" s="181"/>
      <c r="J503" s="162">
        <v>50279796.590000004</v>
      </c>
    </row>
    <row r="504" spans="1:52" s="3" customFormat="1" ht="30" customHeight="1" thickBot="1" x14ac:dyDescent="0.3">
      <c r="A504" s="140"/>
      <c r="B504" s="202" t="s">
        <v>315</v>
      </c>
      <c r="C504" s="157">
        <f>SUM(C505,C524,C555,C550)</f>
        <v>84320582.799999997</v>
      </c>
      <c r="D504" s="157">
        <f>SUM(D505,D524,D555,D550)</f>
        <v>72524703.810000002</v>
      </c>
      <c r="E504" s="312"/>
      <c r="F504" s="705"/>
      <c r="G504" s="479"/>
      <c r="H504" s="479"/>
      <c r="I504" s="479"/>
      <c r="J504" s="162">
        <v>14192619.039999999</v>
      </c>
    </row>
    <row r="505" spans="1:52" s="3" customFormat="1" ht="30" customHeight="1" x14ac:dyDescent="0.2">
      <c r="A505" s="138">
        <v>3111</v>
      </c>
      <c r="B505" s="188" t="s">
        <v>314</v>
      </c>
      <c r="C505" s="217">
        <f>SUM(C506:C508)</f>
        <v>21243000</v>
      </c>
      <c r="D505" s="217">
        <f>SUM(D506:D508)</f>
        <v>19067720.219999999</v>
      </c>
      <c r="E505" s="120"/>
      <c r="F505" s="126"/>
      <c r="G505" s="120"/>
      <c r="H505" s="120"/>
      <c r="I505" s="120"/>
      <c r="J505" s="162">
        <v>3089375</v>
      </c>
    </row>
    <row r="506" spans="1:52" s="3" customFormat="1" ht="30" customHeight="1" x14ac:dyDescent="0.2">
      <c r="A506" s="132"/>
      <c r="B506" s="581" t="s">
        <v>313</v>
      </c>
      <c r="C506" s="582">
        <f>SUM(C511,C520,C516)</f>
        <v>5998000</v>
      </c>
      <c r="D506" s="582">
        <f>SUM(D511,D520,D516)</f>
        <v>6620314</v>
      </c>
      <c r="E506" s="130"/>
      <c r="F506" s="130"/>
      <c r="G506" s="126"/>
      <c r="H506" s="126"/>
      <c r="I506" s="126"/>
      <c r="J506" s="6">
        <v>2996000</v>
      </c>
    </row>
    <row r="507" spans="1:52" s="3" customFormat="1" ht="30" customHeight="1" x14ac:dyDescent="0.2">
      <c r="A507" s="132"/>
      <c r="B507" s="581" t="s">
        <v>312</v>
      </c>
      <c r="C507" s="582">
        <f>SUM(C512,C521,C517)</f>
        <v>3365000</v>
      </c>
      <c r="D507" s="582">
        <f>SUM(D512,D521,D517)</f>
        <v>3766053.27</v>
      </c>
      <c r="E507" s="151"/>
      <c r="F507" s="151"/>
      <c r="G507" s="126"/>
      <c r="H507" s="151"/>
      <c r="I507" s="151"/>
      <c r="J507" s="14">
        <v>93375</v>
      </c>
    </row>
    <row r="508" spans="1:52" s="3" customFormat="1" ht="30" customHeight="1" x14ac:dyDescent="0.2">
      <c r="A508" s="132"/>
      <c r="B508" s="581" t="s">
        <v>311</v>
      </c>
      <c r="C508" s="582">
        <f>C522+C513</f>
        <v>11880000</v>
      </c>
      <c r="D508" s="582">
        <f>D522+D513</f>
        <v>8681352.9499999993</v>
      </c>
      <c r="E508" s="104"/>
      <c r="F508" s="104"/>
      <c r="G508" s="126"/>
      <c r="H508" s="130"/>
      <c r="I508" s="130"/>
      <c r="J508" s="201">
        <v>0</v>
      </c>
    </row>
    <row r="509" spans="1:52" s="3" customFormat="1" ht="30" customHeight="1" x14ac:dyDescent="0.2">
      <c r="A509" s="132"/>
      <c r="B509" s="216"/>
      <c r="C509" s="215"/>
      <c r="D509" s="215"/>
      <c r="E509" s="133"/>
      <c r="F509" s="133"/>
      <c r="G509" s="126"/>
      <c r="H509" s="126"/>
      <c r="I509" s="126"/>
      <c r="J509" s="14"/>
    </row>
    <row r="510" spans="1:52" s="17" customFormat="1" ht="30" customHeight="1" x14ac:dyDescent="0.25">
      <c r="A510" s="132"/>
      <c r="B510" s="183" t="s">
        <v>310</v>
      </c>
      <c r="C510" s="122">
        <f>C511+C512+C513</f>
        <v>11049000</v>
      </c>
      <c r="D510" s="122">
        <f>D511+D512+D513</f>
        <v>8808904.4600000009</v>
      </c>
      <c r="E510" s="121"/>
      <c r="F510" s="130"/>
      <c r="G510" s="120"/>
      <c r="H510" s="120"/>
      <c r="I510" s="120"/>
      <c r="J510" s="14">
        <v>962000</v>
      </c>
    </row>
    <row r="511" spans="1:52" s="3" customFormat="1" ht="30" customHeight="1" x14ac:dyDescent="0.2">
      <c r="A511" s="132"/>
      <c r="B511" s="183" t="s">
        <v>302</v>
      </c>
      <c r="C511" s="126">
        <v>1676000</v>
      </c>
      <c r="D511" s="126">
        <f>1676000-60000+(211024+42686+35680)</f>
        <v>1905390</v>
      </c>
      <c r="E511" s="130"/>
      <c r="F511" s="130"/>
      <c r="G511" s="126"/>
      <c r="H511" s="126"/>
      <c r="I511" s="126"/>
      <c r="J511" s="6">
        <v>962000</v>
      </c>
    </row>
    <row r="512" spans="1:52" ht="36.75" x14ac:dyDescent="0.2">
      <c r="A512" s="132" t="s">
        <v>309</v>
      </c>
      <c r="B512" s="183" t="s">
        <v>308</v>
      </c>
      <c r="C512" s="126">
        <f>(121+90+70+130+462-100)*1000</f>
        <v>773000</v>
      </c>
      <c r="D512" s="126">
        <f>((121+90+70+130+462-100)*1000)+250502.77-50959.71</f>
        <v>972543.06</v>
      </c>
      <c r="E512" s="152"/>
      <c r="F512" s="152"/>
      <c r="G512" s="126"/>
      <c r="H512" s="126"/>
      <c r="I512" s="126"/>
      <c r="J512" s="6">
        <v>0</v>
      </c>
    </row>
    <row r="513" spans="1:10" ht="30" customHeight="1" x14ac:dyDescent="0.2">
      <c r="A513" s="132"/>
      <c r="B513" s="183" t="s">
        <v>307</v>
      </c>
      <c r="C513" s="126">
        <f>(3600+4000+1000)*1000</f>
        <v>8600000</v>
      </c>
      <c r="D513" s="126">
        <f>((3600+4000+1000)*1000)-1000000+(-211024-250502.77-42686-35680-1129135.83)</f>
        <v>5930971.4000000004</v>
      </c>
      <c r="E513" s="130"/>
      <c r="F513" s="130"/>
      <c r="G513" s="126"/>
      <c r="H513" s="126"/>
      <c r="I513" s="126"/>
      <c r="J513" s="6">
        <v>0</v>
      </c>
    </row>
    <row r="514" spans="1:10" ht="30" customHeight="1" x14ac:dyDescent="0.2">
      <c r="A514" s="214"/>
      <c r="B514" s="213"/>
      <c r="C514" s="130"/>
      <c r="D514" s="130"/>
      <c r="E514" s="130"/>
      <c r="F514" s="130"/>
      <c r="G514" s="126"/>
      <c r="H514" s="126"/>
      <c r="I514" s="126"/>
      <c r="J514" s="6"/>
    </row>
    <row r="515" spans="1:10" ht="30" customHeight="1" x14ac:dyDescent="0.2">
      <c r="A515" s="132"/>
      <c r="B515" s="212" t="s">
        <v>306</v>
      </c>
      <c r="C515" s="122">
        <f>SUM(C516:C517)</f>
        <v>3515000</v>
      </c>
      <c r="D515" s="122">
        <f>SUM(D516:D517)</f>
        <v>3476075.92</v>
      </c>
      <c r="E515" s="121"/>
      <c r="F515" s="130"/>
      <c r="G515" s="120"/>
      <c r="H515" s="120"/>
      <c r="I515" s="120"/>
      <c r="J515" s="14">
        <v>1287375</v>
      </c>
    </row>
    <row r="516" spans="1:10" ht="30" customHeight="1" x14ac:dyDescent="0.2">
      <c r="A516" s="132"/>
      <c r="B516" s="183" t="s">
        <v>305</v>
      </c>
      <c r="C516" s="126">
        <v>2535000</v>
      </c>
      <c r="D516" s="126">
        <f>2535000+35940-140000</f>
        <v>2430940</v>
      </c>
      <c r="E516" s="127"/>
      <c r="F516" s="127"/>
      <c r="G516" s="126"/>
      <c r="H516" s="126"/>
      <c r="I516" s="126"/>
      <c r="J516" s="14">
        <v>1194000</v>
      </c>
    </row>
    <row r="517" spans="1:10" ht="30" customHeight="1" x14ac:dyDescent="0.2">
      <c r="A517" s="132"/>
      <c r="B517" s="183" t="s">
        <v>965</v>
      </c>
      <c r="C517" s="126">
        <v>980000</v>
      </c>
      <c r="D517" s="126">
        <f>980000+65135.92</f>
        <v>1045135.92</v>
      </c>
      <c r="E517" s="127"/>
      <c r="F517" s="127"/>
      <c r="G517" s="126"/>
      <c r="H517" s="126"/>
      <c r="I517" s="126"/>
      <c r="J517" s="6">
        <v>93375</v>
      </c>
    </row>
    <row r="518" spans="1:10" ht="30" customHeight="1" x14ac:dyDescent="0.2">
      <c r="A518" s="132"/>
      <c r="B518" s="183"/>
      <c r="C518" s="126"/>
      <c r="D518" s="126"/>
      <c r="E518" s="127"/>
      <c r="F518" s="127"/>
      <c r="G518" s="126"/>
      <c r="H518" s="126"/>
      <c r="I518" s="126"/>
      <c r="J518" s="14"/>
    </row>
    <row r="519" spans="1:10" ht="30" customHeight="1" x14ac:dyDescent="0.2">
      <c r="A519" s="132"/>
      <c r="B519" s="183" t="s">
        <v>303</v>
      </c>
      <c r="C519" s="551">
        <f>SUM(C520:C522)</f>
        <v>6679000</v>
      </c>
      <c r="D519" s="551">
        <f>SUM(D520:D522)</f>
        <v>6782739.8399999999</v>
      </c>
      <c r="E519" s="122"/>
      <c r="F519" s="127"/>
      <c r="G519" s="120"/>
      <c r="H519" s="120"/>
      <c r="I519" s="120"/>
      <c r="J519" s="6">
        <v>840000</v>
      </c>
    </row>
    <row r="520" spans="1:10" ht="30" customHeight="1" x14ac:dyDescent="0.2">
      <c r="A520" s="132"/>
      <c r="B520" s="183" t="s">
        <v>302</v>
      </c>
      <c r="C520" s="130">
        <v>1787000</v>
      </c>
      <c r="D520" s="130">
        <f>1787000+(70381.36+398827.64)+27775</f>
        <v>2283984</v>
      </c>
      <c r="E520" s="195"/>
      <c r="F520" s="195"/>
      <c r="G520" s="126"/>
      <c r="H520" s="126"/>
      <c r="I520" s="126"/>
      <c r="J520" s="14">
        <v>840000</v>
      </c>
    </row>
    <row r="521" spans="1:10" ht="30" customHeight="1" x14ac:dyDescent="0.2">
      <c r="A521" s="132"/>
      <c r="B521" s="183" t="s">
        <v>301</v>
      </c>
      <c r="C521" s="126">
        <f>+(368+237+417+210+260+120)*1000</f>
        <v>1612000</v>
      </c>
      <c r="D521" s="126">
        <f>((368+237+417+210+260+120)*1000)+117865+18509.29</f>
        <v>1748374.29</v>
      </c>
      <c r="E521" s="195"/>
      <c r="F521" s="195"/>
      <c r="G521" s="126"/>
      <c r="H521" s="126"/>
      <c r="I521" s="126"/>
      <c r="J521" s="6">
        <v>0</v>
      </c>
    </row>
    <row r="522" spans="1:10" ht="30" customHeight="1" x14ac:dyDescent="0.2">
      <c r="A522" s="132"/>
      <c r="B522" s="183" t="s">
        <v>964</v>
      </c>
      <c r="C522" s="126">
        <v>3280000</v>
      </c>
      <c r="D522" s="126">
        <f>3280000+(-117865-411753.45)</f>
        <v>2750381.55</v>
      </c>
      <c r="E522" s="127"/>
      <c r="F522" s="127"/>
      <c r="G522" s="126"/>
      <c r="H522" s="126"/>
      <c r="I522" s="126"/>
      <c r="J522" s="6">
        <v>0</v>
      </c>
    </row>
    <row r="523" spans="1:10" ht="30" customHeight="1" x14ac:dyDescent="0.2">
      <c r="A523" s="132"/>
      <c r="B523" s="183"/>
      <c r="C523" s="126"/>
      <c r="D523" s="126"/>
      <c r="E523" s="495"/>
      <c r="F523" s="495"/>
      <c r="G523" s="126"/>
      <c r="H523" s="126"/>
      <c r="I523" s="126"/>
      <c r="J523" s="14"/>
    </row>
    <row r="524" spans="1:10" ht="30" customHeight="1" x14ac:dyDescent="0.2">
      <c r="A524" s="124">
        <v>3113</v>
      </c>
      <c r="B524" s="203" t="s">
        <v>299</v>
      </c>
      <c r="C524" s="122">
        <f>SUM(C525:C528)</f>
        <v>41100771.5</v>
      </c>
      <c r="D524" s="122">
        <f>SUM(D525:D528)</f>
        <v>48578782.140000001</v>
      </c>
      <c r="E524" s="121"/>
      <c r="F524" s="130"/>
      <c r="G524" s="120"/>
      <c r="H524" s="120"/>
      <c r="I524" s="120"/>
      <c r="J524" s="6">
        <v>9923777.6300000008</v>
      </c>
    </row>
    <row r="525" spans="1:10" ht="30" customHeight="1" x14ac:dyDescent="0.2">
      <c r="A525" s="124"/>
      <c r="B525" s="128" t="s">
        <v>298</v>
      </c>
      <c r="C525" s="126">
        <v>400000</v>
      </c>
      <c r="D525" s="126">
        <f>400000-39930-174549.84-18509.29-65135.92-25838</f>
        <v>76036.95</v>
      </c>
      <c r="E525" s="130"/>
      <c r="F525" s="10"/>
      <c r="G525" s="126"/>
      <c r="H525" s="126"/>
      <c r="I525" s="126"/>
      <c r="J525" s="6">
        <v>111245</v>
      </c>
    </row>
    <row r="526" spans="1:10" ht="30" customHeight="1" x14ac:dyDescent="0.2">
      <c r="A526" s="132"/>
      <c r="B526" s="183" t="s">
        <v>297</v>
      </c>
      <c r="C526" s="204">
        <f>SUM(C536,C541,C531,C546)</f>
        <v>18701000</v>
      </c>
      <c r="D526" s="204">
        <f>SUM(D536,D541,D531,D546)</f>
        <v>29228572.450000003</v>
      </c>
      <c r="E526" s="130"/>
      <c r="F526" s="130"/>
      <c r="G526" s="126"/>
      <c r="H526" s="126"/>
      <c r="I526" s="126"/>
      <c r="J526" s="14">
        <v>9690000</v>
      </c>
    </row>
    <row r="527" spans="1:10" ht="30" customHeight="1" x14ac:dyDescent="0.2">
      <c r="A527" s="132"/>
      <c r="B527" s="183" t="s">
        <v>296</v>
      </c>
      <c r="C527" s="204">
        <f>SUM(C537,C542,C532,C547)</f>
        <v>10054000</v>
      </c>
      <c r="D527" s="204">
        <f>SUM(D537,D542,D532,D547)</f>
        <v>7014652.9199999999</v>
      </c>
      <c r="E527" s="130"/>
      <c r="F527" s="130"/>
      <c r="G527" s="126"/>
      <c r="H527" s="126"/>
      <c r="I527" s="126"/>
      <c r="J527" s="6">
        <v>35532.629999999997</v>
      </c>
    </row>
    <row r="528" spans="1:10" ht="30" customHeight="1" x14ac:dyDescent="0.2">
      <c r="A528" s="132"/>
      <c r="B528" s="183" t="s">
        <v>295</v>
      </c>
      <c r="C528" s="207">
        <f>C533+C538+C543+C548</f>
        <v>11945771.5</v>
      </c>
      <c r="D528" s="207">
        <f>D533+D538+D543+D548</f>
        <v>12259519.819999998</v>
      </c>
      <c r="E528" s="130"/>
      <c r="F528" s="130"/>
      <c r="G528" s="126"/>
      <c r="H528" s="126"/>
      <c r="I528" s="126"/>
      <c r="J528" s="14">
        <v>87000</v>
      </c>
    </row>
    <row r="529" spans="1:10" s="3" customFormat="1" ht="30" customHeight="1" x14ac:dyDescent="0.2">
      <c r="A529" s="132"/>
      <c r="B529" s="183"/>
      <c r="C529" s="182"/>
      <c r="D529" s="182"/>
      <c r="E529" s="130"/>
      <c r="F529" s="130"/>
      <c r="G529" s="126"/>
      <c r="H529" s="126"/>
      <c r="I529" s="126"/>
      <c r="J529" s="6"/>
    </row>
    <row r="530" spans="1:10" ht="30" customHeight="1" x14ac:dyDescent="0.2">
      <c r="A530" s="132"/>
      <c r="B530" s="183" t="s">
        <v>294</v>
      </c>
      <c r="C530" s="205">
        <f>SUM(C531:C533)</f>
        <v>11137000</v>
      </c>
      <c r="D530" s="205">
        <f>SUM(D531:D533)</f>
        <v>17580602.809999999</v>
      </c>
      <c r="E530" s="122"/>
      <c r="F530" s="127"/>
      <c r="G530" s="120"/>
      <c r="H530" s="120"/>
      <c r="I530" s="120"/>
      <c r="J530" s="14">
        <v>3462000</v>
      </c>
    </row>
    <row r="531" spans="1:10" ht="30" customHeight="1" x14ac:dyDescent="0.2">
      <c r="A531" s="132"/>
      <c r="B531" s="183" t="s">
        <v>293</v>
      </c>
      <c r="C531" s="126">
        <v>6333000</v>
      </c>
      <c r="D531" s="126">
        <f>6333000+7932-300000+(205074.76+1162090.24)+(157016.39+2669278.68)+(4839.58+27424.29)+1029607.24+1014582.83</f>
        <v>12310846.01</v>
      </c>
      <c r="E531" s="130"/>
      <c r="F531" s="130"/>
      <c r="G531" s="126"/>
      <c r="H531" s="126"/>
      <c r="I531" s="126"/>
      <c r="J531" s="14">
        <v>3462000</v>
      </c>
    </row>
    <row r="532" spans="1:10" ht="30" customHeight="1" x14ac:dyDescent="0.2">
      <c r="A532" s="132"/>
      <c r="B532" s="183" t="s">
        <v>292</v>
      </c>
      <c r="C532" s="126">
        <v>1178000</v>
      </c>
      <c r="D532" s="126">
        <f>1178000+5000-467110</f>
        <v>715890</v>
      </c>
      <c r="E532" s="117"/>
      <c r="F532" s="117"/>
      <c r="G532" s="126"/>
      <c r="H532" s="151"/>
      <c r="I532" s="151"/>
      <c r="J532" s="6">
        <v>0</v>
      </c>
    </row>
    <row r="533" spans="1:10" ht="44.25" customHeight="1" x14ac:dyDescent="0.2">
      <c r="A533" s="132"/>
      <c r="B533" s="183" t="s">
        <v>291</v>
      </c>
      <c r="C533" s="126">
        <f>(150+3000+300+70+192+85+129-300)*1000</f>
        <v>3626000</v>
      </c>
      <c r="D533" s="126">
        <f>((150+3000+300+70+192+85+129-300)*1000)+(-334494.1+711945.8)+(142709.29+2426057.88)-1029607.24+(25838-1014582.83)</f>
        <v>4553866.8</v>
      </c>
      <c r="E533" s="130"/>
      <c r="F533" s="130"/>
      <c r="G533" s="126"/>
      <c r="H533" s="130"/>
      <c r="I533" s="130"/>
      <c r="J533" s="6">
        <v>0</v>
      </c>
    </row>
    <row r="534" spans="1:10" ht="30" customHeight="1" x14ac:dyDescent="0.2">
      <c r="A534" s="132"/>
      <c r="B534" s="183"/>
      <c r="C534" s="130"/>
      <c r="D534" s="130"/>
      <c r="E534" s="133"/>
      <c r="F534" s="133"/>
      <c r="G534" s="126"/>
      <c r="H534" s="120"/>
      <c r="I534" s="120"/>
      <c r="J534" s="14"/>
    </row>
    <row r="535" spans="1:10" ht="30" customHeight="1" x14ac:dyDescent="0.2">
      <c r="A535" s="132"/>
      <c r="B535" s="183" t="s">
        <v>290</v>
      </c>
      <c r="C535" s="205">
        <f>SUM(C536:C538)</f>
        <v>10355771.5</v>
      </c>
      <c r="D535" s="205">
        <f>SUM(D536:D538)</f>
        <v>12187152.870000001</v>
      </c>
      <c r="E535" s="122"/>
      <c r="F535" s="127"/>
      <c r="G535" s="120"/>
      <c r="H535" s="120"/>
      <c r="I535" s="120"/>
      <c r="J535" s="14">
        <v>2118000</v>
      </c>
    </row>
    <row r="536" spans="1:10" ht="30" customHeight="1" x14ac:dyDescent="0.2">
      <c r="A536" s="132"/>
      <c r="B536" s="183" t="s">
        <v>289</v>
      </c>
      <c r="C536" s="126">
        <v>3940000</v>
      </c>
      <c r="D536" s="126">
        <f>3940000-30000+(2670.26+15131.44)+(-24020+1094770.73+126901.23+39930)+(63450.62+1078660.51)</f>
        <v>6307494.79</v>
      </c>
      <c r="E536" s="130"/>
      <c r="F536" s="130"/>
      <c r="G536" s="126"/>
      <c r="H536" s="126"/>
      <c r="I536" s="126"/>
      <c r="J536" s="14">
        <v>2118000</v>
      </c>
    </row>
    <row r="537" spans="1:10" ht="30" customHeight="1" x14ac:dyDescent="0.2">
      <c r="A537" s="132"/>
      <c r="B537" s="183" t="s">
        <v>288</v>
      </c>
      <c r="C537" s="126">
        <v>576000</v>
      </c>
      <c r="D537" s="126">
        <f>576000-180000</f>
        <v>396000</v>
      </c>
      <c r="E537" s="130"/>
      <c r="F537" s="130"/>
      <c r="G537" s="126"/>
      <c r="H537" s="126"/>
      <c r="I537" s="126"/>
      <c r="J537" s="6">
        <v>0</v>
      </c>
    </row>
    <row r="538" spans="1:10" ht="30" customHeight="1" x14ac:dyDescent="0.2">
      <c r="A538" s="132"/>
      <c r="B538" s="183" t="s">
        <v>287</v>
      </c>
      <c r="C538" s="126">
        <v>5839771.5</v>
      </c>
      <c r="D538" s="126">
        <f>5839771.5+180000+(-2112330.91-1094770.73-126901.23)+(155438.3+2642451.15)</f>
        <v>5483658.0800000001</v>
      </c>
      <c r="E538" s="130"/>
      <c r="F538" s="130"/>
      <c r="G538" s="126"/>
      <c r="H538" s="126"/>
      <c r="I538" s="126"/>
      <c r="J538" s="6">
        <v>0</v>
      </c>
    </row>
    <row r="539" spans="1:10" ht="30" customHeight="1" x14ac:dyDescent="0.2">
      <c r="A539" s="132"/>
      <c r="B539" s="183"/>
      <c r="C539" s="130"/>
      <c r="D539" s="130"/>
      <c r="E539" s="130"/>
      <c r="F539" s="130"/>
      <c r="G539" s="126"/>
      <c r="H539" s="126"/>
      <c r="I539" s="126"/>
      <c r="J539" s="14"/>
    </row>
    <row r="540" spans="1:10" ht="30" customHeight="1" x14ac:dyDescent="0.2">
      <c r="A540" s="132"/>
      <c r="B540" s="183" t="s">
        <v>286</v>
      </c>
      <c r="C540" s="122">
        <f>SUM(C541:C543)</f>
        <v>12515000</v>
      </c>
      <c r="D540" s="122">
        <f>SUM(D541:D543)</f>
        <v>12074207.51</v>
      </c>
      <c r="E540" s="122"/>
      <c r="F540" s="127"/>
      <c r="G540" s="120"/>
      <c r="H540" s="120"/>
      <c r="I540" s="120"/>
      <c r="J540" s="14">
        <v>1838532.63</v>
      </c>
    </row>
    <row r="541" spans="1:10" ht="30" customHeight="1" x14ac:dyDescent="0.2">
      <c r="A541" s="132"/>
      <c r="B541" s="183" t="s">
        <v>285</v>
      </c>
      <c r="C541" s="126">
        <v>3375000</v>
      </c>
      <c r="D541" s="126">
        <f>3375000+(68450.27+1163654.63)-80000+(4369.37+24759.73)-88468.35</f>
        <v>4467765.6500000004</v>
      </c>
      <c r="E541" s="117"/>
      <c r="F541" s="117"/>
      <c r="G541" s="126"/>
      <c r="H541" s="126"/>
      <c r="I541" s="126"/>
      <c r="J541" s="14">
        <v>1716000</v>
      </c>
    </row>
    <row r="542" spans="1:10" ht="30" customHeight="1" x14ac:dyDescent="0.2">
      <c r="A542" s="132"/>
      <c r="B542" s="183" t="s">
        <v>284</v>
      </c>
      <c r="C542" s="126">
        <f>(4600+2600+500+400)*1000</f>
        <v>8100000</v>
      </c>
      <c r="D542" s="126">
        <f>((4600+2600+500+400)*1000)-2000000-395556.08</f>
        <v>5704443.9199999999</v>
      </c>
      <c r="E542" s="711"/>
      <c r="F542" s="487"/>
      <c r="G542" s="126"/>
      <c r="H542" s="126"/>
      <c r="I542" s="126"/>
      <c r="J542" s="6">
        <v>35532.629999999997</v>
      </c>
    </row>
    <row r="543" spans="1:10" ht="30" customHeight="1" x14ac:dyDescent="0.2">
      <c r="A543" s="132"/>
      <c r="B543" s="183" t="s">
        <v>283</v>
      </c>
      <c r="C543" s="126">
        <f>+(600+600-160)*1000</f>
        <v>1040000</v>
      </c>
      <c r="D543" s="126">
        <f>((600+600-160)*1000)+(51518.6+875816.2)-65336.86</f>
        <v>1901997.9399999997</v>
      </c>
      <c r="E543" s="133"/>
      <c r="F543" s="133"/>
      <c r="G543" s="126"/>
      <c r="H543" s="126"/>
      <c r="I543" s="126"/>
      <c r="J543" s="6">
        <v>87000</v>
      </c>
    </row>
    <row r="544" spans="1:10" ht="30" customHeight="1" x14ac:dyDescent="0.2">
      <c r="A544" s="132"/>
      <c r="B544" s="183"/>
      <c r="C544" s="120"/>
      <c r="D544" s="120"/>
      <c r="E544" s="130"/>
      <c r="F544" s="130"/>
      <c r="G544" s="126"/>
      <c r="H544" s="126"/>
      <c r="I544" s="126"/>
      <c r="J544" s="6"/>
    </row>
    <row r="545" spans="1:10" ht="30" customHeight="1" x14ac:dyDescent="0.2">
      <c r="A545" s="132"/>
      <c r="B545" s="183" t="s">
        <v>282</v>
      </c>
      <c r="C545" s="122">
        <f>SUM(C546:C548)</f>
        <v>6693000</v>
      </c>
      <c r="D545" s="122">
        <f>SUM(D546:D548)</f>
        <v>6660782</v>
      </c>
      <c r="E545" s="134"/>
      <c r="F545" s="117"/>
      <c r="G545" s="120"/>
      <c r="H545" s="120"/>
      <c r="I545" s="120"/>
      <c r="J545" s="6">
        <v>2394000</v>
      </c>
    </row>
    <row r="546" spans="1:10" ht="30" customHeight="1" x14ac:dyDescent="0.2">
      <c r="A546" s="132"/>
      <c r="B546" s="183" t="s">
        <v>281</v>
      </c>
      <c r="C546" s="126">
        <v>5053000</v>
      </c>
      <c r="D546" s="126">
        <f>5053000-40000+(169419.91+960046.09)</f>
        <v>6142466</v>
      </c>
      <c r="E546" s="130"/>
      <c r="F546" s="130"/>
      <c r="G546" s="126"/>
      <c r="H546" s="130"/>
      <c r="I546" s="130"/>
      <c r="J546" s="14">
        <v>2394000</v>
      </c>
    </row>
    <row r="547" spans="1:10" ht="30" customHeight="1" x14ac:dyDescent="0.2">
      <c r="A547" s="132"/>
      <c r="B547" s="183" t="s">
        <v>280</v>
      </c>
      <c r="C547" s="126">
        <v>200000</v>
      </c>
      <c r="D547" s="126">
        <f>200000-1681</f>
        <v>198319</v>
      </c>
      <c r="E547" s="126"/>
      <c r="F547" s="126"/>
      <c r="G547" s="126"/>
      <c r="H547" s="126"/>
      <c r="I547" s="126"/>
      <c r="J547" s="14">
        <v>0</v>
      </c>
    </row>
    <row r="548" spans="1:10" ht="30" customHeight="1" x14ac:dyDescent="0.2">
      <c r="A548" s="132"/>
      <c r="B548" s="183" t="s">
        <v>279</v>
      </c>
      <c r="C548" s="126">
        <f>(320+1250-130)*1000</f>
        <v>1440000</v>
      </c>
      <c r="D548" s="126">
        <f>((320+1250-130)*1000)+(-3-1120000)</f>
        <v>319997</v>
      </c>
      <c r="E548" s="130"/>
      <c r="F548" s="130"/>
      <c r="G548" s="126"/>
      <c r="H548" s="126"/>
      <c r="I548" s="126"/>
      <c r="J548" s="6">
        <v>0</v>
      </c>
    </row>
    <row r="549" spans="1:10" ht="30" customHeight="1" x14ac:dyDescent="0.2">
      <c r="A549" s="132"/>
      <c r="B549" s="183"/>
      <c r="C549" s="126"/>
      <c r="D549" s="126"/>
      <c r="E549" s="117"/>
      <c r="F549" s="117"/>
      <c r="G549" s="126"/>
      <c r="H549" s="151"/>
      <c r="I549" s="151"/>
      <c r="J549" s="6"/>
    </row>
    <row r="550" spans="1:10" ht="30" customHeight="1" x14ac:dyDescent="0.2">
      <c r="A550" s="124">
        <v>3233</v>
      </c>
      <c r="B550" s="203" t="s">
        <v>278</v>
      </c>
      <c r="C550" s="122">
        <f>C551</f>
        <v>21896811.300000001</v>
      </c>
      <c r="D550" s="122">
        <f>D551</f>
        <v>4878201.4500000011</v>
      </c>
      <c r="E550" s="122"/>
      <c r="F550" s="127"/>
      <c r="G550" s="120"/>
      <c r="H550" s="121"/>
      <c r="I550" s="121"/>
      <c r="J550" s="14">
        <v>1155684</v>
      </c>
    </row>
    <row r="551" spans="1:10" ht="30" customHeight="1" x14ac:dyDescent="0.2">
      <c r="A551" s="124"/>
      <c r="B551" s="183" t="s">
        <v>277</v>
      </c>
      <c r="C551" s="204">
        <f>SUM(C552:C554)</f>
        <v>21896811.300000001</v>
      </c>
      <c r="D551" s="204">
        <f>SUM(D552:D554)</f>
        <v>4878201.4500000011</v>
      </c>
      <c r="E551" s="126"/>
      <c r="F551" s="126"/>
      <c r="G551" s="126"/>
      <c r="H551" s="126"/>
      <c r="I551" s="126"/>
      <c r="J551" s="6">
        <v>1155684</v>
      </c>
    </row>
    <row r="552" spans="1:10" ht="30" customHeight="1" x14ac:dyDescent="0.2">
      <c r="A552" s="124"/>
      <c r="B552" s="183" t="s">
        <v>276</v>
      </c>
      <c r="C552" s="126">
        <v>1512000</v>
      </c>
      <c r="D552" s="126">
        <f>1512000-40000+62300+106000-6000-100000-7892.36+15000</f>
        <v>1541407.64</v>
      </c>
      <c r="E552" s="127"/>
      <c r="F552" s="127"/>
      <c r="G552" s="126"/>
      <c r="H552" s="126"/>
      <c r="I552" s="126"/>
      <c r="J552" s="6">
        <v>948000</v>
      </c>
    </row>
    <row r="553" spans="1:10" ht="30" customHeight="1" x14ac:dyDescent="0.2">
      <c r="A553" s="124"/>
      <c r="B553" s="183" t="s">
        <v>275</v>
      </c>
      <c r="C553" s="126">
        <v>150000</v>
      </c>
      <c r="D553" s="126">
        <f>150000+174549.84</f>
        <v>324549.83999999997</v>
      </c>
      <c r="E553" s="130"/>
      <c r="F553" s="130"/>
      <c r="G553" s="126"/>
      <c r="H553" s="126"/>
      <c r="I553" s="126"/>
      <c r="J553" s="6">
        <v>0</v>
      </c>
    </row>
    <row r="554" spans="1:10" ht="30" customHeight="1" x14ac:dyDescent="0.2">
      <c r="A554" s="124"/>
      <c r="B554" s="183" t="s">
        <v>274</v>
      </c>
      <c r="C554" s="126">
        <v>20234811.300000001</v>
      </c>
      <c r="D554" s="126">
        <f>20234811.3-12650000-4572567.33</f>
        <v>3012243.9700000007</v>
      </c>
      <c r="E554" s="130"/>
      <c r="F554" s="130"/>
      <c r="G554" s="126"/>
      <c r="H554" s="126"/>
      <c r="I554" s="126"/>
      <c r="J554" s="6">
        <v>207684</v>
      </c>
    </row>
    <row r="555" spans="1:10" s="3" customFormat="1" ht="30" customHeight="1" thickBot="1" x14ac:dyDescent="0.25">
      <c r="A555" s="124">
        <v>3419</v>
      </c>
      <c r="B555" s="203" t="s">
        <v>273</v>
      </c>
      <c r="C555" s="120">
        <v>80000</v>
      </c>
      <c r="D555" s="120">
        <f>80000-80000</f>
        <v>0</v>
      </c>
      <c r="E555" s="521"/>
      <c r="F555" s="152"/>
      <c r="G555" s="120"/>
      <c r="H555" s="486"/>
      <c r="I555" s="486"/>
      <c r="J555" s="6">
        <v>23782.41</v>
      </c>
    </row>
    <row r="556" spans="1:10" s="3" customFormat="1" ht="30" customHeight="1" thickBot="1" x14ac:dyDescent="0.3">
      <c r="A556" s="140"/>
      <c r="B556" s="202" t="s">
        <v>272</v>
      </c>
      <c r="C556" s="157">
        <f>SUM(C557,C560,C563,C567,C570,C577)</f>
        <v>63946000</v>
      </c>
      <c r="D556" s="157">
        <f>SUM(D557,D560,D563,D567,D570,D577)</f>
        <v>53222851.680000007</v>
      </c>
      <c r="E556" s="479"/>
      <c r="F556" s="317"/>
      <c r="G556" s="479"/>
      <c r="H556" s="479"/>
      <c r="I556" s="479"/>
      <c r="J556" s="14">
        <v>17152237.550000001</v>
      </c>
    </row>
    <row r="557" spans="1:10" s="3" customFormat="1" ht="30" customHeight="1" x14ac:dyDescent="0.2">
      <c r="A557" s="200">
        <v>3311</v>
      </c>
      <c r="B557" s="199" t="s">
        <v>271</v>
      </c>
      <c r="C557" s="136">
        <f>SUM(C558:C559)</f>
        <v>35844000</v>
      </c>
      <c r="D557" s="136">
        <f>SUM(D558:D559)</f>
        <v>22747358.420000002</v>
      </c>
      <c r="E557" s="136"/>
      <c r="F557" s="133"/>
      <c r="G557" s="120"/>
      <c r="H557" s="120"/>
      <c r="I557" s="120"/>
      <c r="J557" s="6">
        <v>6310046.5999999996</v>
      </c>
    </row>
    <row r="558" spans="1:10" s="3" customFormat="1" ht="30" customHeight="1" x14ac:dyDescent="0.2">
      <c r="A558" s="191"/>
      <c r="B558" s="190" t="s">
        <v>270</v>
      </c>
      <c r="C558" s="126">
        <v>12044000</v>
      </c>
      <c r="D558" s="126">
        <f>12044000+25236-100000+7406-1200000</f>
        <v>10776642</v>
      </c>
      <c r="E558" s="130"/>
      <c r="F558" s="130"/>
      <c r="G558" s="126"/>
      <c r="H558" s="126"/>
      <c r="I558" s="126"/>
      <c r="J558" s="6">
        <v>5500000</v>
      </c>
    </row>
    <row r="559" spans="1:10" s="3" customFormat="1" ht="30" customHeight="1" x14ac:dyDescent="0.2">
      <c r="A559" s="191"/>
      <c r="B559" s="194" t="s">
        <v>269</v>
      </c>
      <c r="C559" s="126">
        <f>+(20000+4000-200)*1000</f>
        <v>23800000</v>
      </c>
      <c r="D559" s="126">
        <f>((20000+4000-200)*1000)-2000000-9406511.28-422772.3</f>
        <v>11970716.42</v>
      </c>
      <c r="E559" s="130"/>
      <c r="F559" s="130"/>
      <c r="G559" s="126"/>
      <c r="H559" s="126"/>
      <c r="I559" s="126"/>
      <c r="J559" s="6">
        <v>703566.6</v>
      </c>
    </row>
    <row r="560" spans="1:10" ht="30" customHeight="1" x14ac:dyDescent="0.2">
      <c r="A560" s="193">
        <v>3319</v>
      </c>
      <c r="B560" s="198" t="s">
        <v>268</v>
      </c>
      <c r="C560" s="121">
        <f>SUM(C561:C562)</f>
        <v>1017000</v>
      </c>
      <c r="D560" s="121">
        <f>SUM(D561:D562)</f>
        <v>917000</v>
      </c>
      <c r="E560" s="121"/>
      <c r="F560" s="130"/>
      <c r="G560" s="120"/>
      <c r="H560" s="120"/>
      <c r="I560" s="120"/>
      <c r="J560" s="6">
        <v>225265.69</v>
      </c>
    </row>
    <row r="561" spans="1:10" ht="30" customHeight="1" x14ac:dyDescent="0.2">
      <c r="A561" s="193"/>
      <c r="B561" s="197" t="s">
        <v>267</v>
      </c>
      <c r="C561" s="126">
        <f>417000+5000</f>
        <v>422000</v>
      </c>
      <c r="D561" s="126">
        <f>417000+5000</f>
        <v>422000</v>
      </c>
      <c r="E561" s="130"/>
      <c r="F561" s="130"/>
      <c r="G561" s="126"/>
      <c r="H561" s="126"/>
      <c r="I561" s="126"/>
      <c r="J561" s="6">
        <v>52418.37</v>
      </c>
    </row>
    <row r="562" spans="1:10" ht="30" customHeight="1" x14ac:dyDescent="0.2">
      <c r="A562" s="193"/>
      <c r="B562" s="197" t="s">
        <v>266</v>
      </c>
      <c r="C562" s="126">
        <v>595000</v>
      </c>
      <c r="D562" s="126">
        <f>595000-100000</f>
        <v>495000</v>
      </c>
      <c r="E562" s="130"/>
      <c r="F562" s="130"/>
      <c r="G562" s="126"/>
      <c r="H562" s="126"/>
      <c r="I562" s="126"/>
      <c r="J562" s="171">
        <v>172847.32</v>
      </c>
    </row>
    <row r="563" spans="1:10" ht="30" customHeight="1" x14ac:dyDescent="0.2">
      <c r="A563" s="193">
        <v>3322</v>
      </c>
      <c r="B563" s="198" t="s">
        <v>265</v>
      </c>
      <c r="C563" s="122">
        <f>SUM(C564:C566)</f>
        <v>332000</v>
      </c>
      <c r="D563" s="122">
        <f>SUM(D564:D566)</f>
        <v>613000</v>
      </c>
      <c r="E563" s="122"/>
      <c r="F563" s="127"/>
      <c r="G563" s="120"/>
      <c r="H563" s="120"/>
      <c r="I563" s="120"/>
      <c r="J563" s="6">
        <v>13480</v>
      </c>
    </row>
    <row r="564" spans="1:10" ht="30" customHeight="1" x14ac:dyDescent="0.2">
      <c r="A564" s="191"/>
      <c r="B564" s="197" t="s">
        <v>264</v>
      </c>
      <c r="C564" s="126">
        <v>10000</v>
      </c>
      <c r="D564" s="126">
        <v>10000</v>
      </c>
      <c r="E564" s="295"/>
      <c r="F564" s="295"/>
      <c r="G564" s="126"/>
      <c r="H564" s="126"/>
      <c r="I564" s="126"/>
      <c r="J564" s="14">
        <v>0</v>
      </c>
    </row>
    <row r="565" spans="1:10" ht="30" customHeight="1" x14ac:dyDescent="0.2">
      <c r="A565" s="191"/>
      <c r="B565" s="190" t="s">
        <v>263</v>
      </c>
      <c r="C565" s="126">
        <v>42000</v>
      </c>
      <c r="D565" s="126">
        <v>42000</v>
      </c>
      <c r="E565" s="130"/>
      <c r="F565" s="130"/>
      <c r="G565" s="126"/>
      <c r="H565" s="130"/>
      <c r="I565" s="126"/>
      <c r="J565" s="14">
        <v>13480</v>
      </c>
    </row>
    <row r="566" spans="1:10" s="3" customFormat="1" ht="30" customHeight="1" x14ac:dyDescent="0.2">
      <c r="A566" s="191"/>
      <c r="B566" s="190" t="s">
        <v>989</v>
      </c>
      <c r="C566" s="126">
        <v>280000</v>
      </c>
      <c r="D566" s="126">
        <f>280000+180000-40000+141000</f>
        <v>561000</v>
      </c>
      <c r="E566" s="126"/>
      <c r="F566" s="126"/>
      <c r="G566" s="126"/>
      <c r="H566" s="126"/>
      <c r="I566" s="126"/>
      <c r="J566" s="6">
        <v>0</v>
      </c>
    </row>
    <row r="567" spans="1:10" s="3" customFormat="1" ht="30" customHeight="1" x14ac:dyDescent="0.2">
      <c r="A567" s="193">
        <v>3326</v>
      </c>
      <c r="B567" s="192" t="s">
        <v>261</v>
      </c>
      <c r="C567" s="122">
        <f>SUM(C568:C569)</f>
        <v>341000</v>
      </c>
      <c r="D567" s="122">
        <f>SUM(D568:D569)</f>
        <v>381000</v>
      </c>
      <c r="E567" s="121"/>
      <c r="F567" s="130"/>
      <c r="G567" s="120"/>
      <c r="H567" s="120"/>
      <c r="I567" s="120"/>
      <c r="J567" s="14">
        <v>624.26</v>
      </c>
    </row>
    <row r="568" spans="1:10" s="3" customFormat="1" ht="30" customHeight="1" x14ac:dyDescent="0.2">
      <c r="A568" s="191"/>
      <c r="B568" s="190" t="s">
        <v>791</v>
      </c>
      <c r="C568" s="126">
        <v>338000</v>
      </c>
      <c r="D568" s="126">
        <f>338000+40000</f>
        <v>378000</v>
      </c>
      <c r="E568" s="130"/>
      <c r="F568" s="130"/>
      <c r="G568" s="126"/>
      <c r="H568" s="126"/>
      <c r="I568" s="126"/>
      <c r="J568" s="6">
        <v>0</v>
      </c>
    </row>
    <row r="569" spans="1:10" s="3" customFormat="1" ht="30" customHeight="1" x14ac:dyDescent="0.2">
      <c r="A569" s="191"/>
      <c r="B569" s="190" t="s">
        <v>260</v>
      </c>
      <c r="C569" s="126">
        <v>3000</v>
      </c>
      <c r="D569" s="126">
        <v>3000</v>
      </c>
      <c r="E569" s="130"/>
      <c r="F569" s="130"/>
      <c r="G569" s="126"/>
      <c r="H569" s="126"/>
      <c r="I569" s="126"/>
      <c r="J569" s="14">
        <v>624.26</v>
      </c>
    </row>
    <row r="570" spans="1:10" ht="30" customHeight="1" x14ac:dyDescent="0.2">
      <c r="A570" s="193">
        <v>3392</v>
      </c>
      <c r="B570" s="192" t="s">
        <v>259</v>
      </c>
      <c r="C570" s="122">
        <f>C572+C571</f>
        <v>26232000</v>
      </c>
      <c r="D570" s="122">
        <f>D572+D571</f>
        <v>28384493.260000002</v>
      </c>
      <c r="E570" s="121"/>
      <c r="F570" s="130"/>
      <c r="G570" s="120"/>
      <c r="H570" s="120"/>
      <c r="I570" s="120"/>
      <c r="J570" s="6">
        <v>10563052</v>
      </c>
    </row>
    <row r="571" spans="1:10" ht="30" customHeight="1" x14ac:dyDescent="0.2">
      <c r="A571" s="193"/>
      <c r="B571" s="190" t="s">
        <v>258</v>
      </c>
      <c r="C571" s="126">
        <v>26000</v>
      </c>
      <c r="D571" s="126">
        <v>26000</v>
      </c>
      <c r="E571" s="130"/>
      <c r="F571" s="130"/>
      <c r="G571" s="126"/>
      <c r="H571" s="126"/>
      <c r="I571" s="126"/>
      <c r="J571" s="6">
        <v>0</v>
      </c>
    </row>
    <row r="572" spans="1:10" ht="30" customHeight="1" x14ac:dyDescent="0.2">
      <c r="A572" s="191"/>
      <c r="B572" s="190" t="s">
        <v>257</v>
      </c>
      <c r="C572" s="122">
        <f>SUM(C573+C575+C576)</f>
        <v>26206000</v>
      </c>
      <c r="D572" s="122">
        <f>SUM(D573+D575+D576)</f>
        <v>28358493.260000002</v>
      </c>
      <c r="E572" s="121"/>
      <c r="F572" s="130"/>
      <c r="G572" s="120"/>
      <c r="H572" s="120"/>
      <c r="I572" s="120"/>
      <c r="J572" s="6">
        <v>10563052</v>
      </c>
    </row>
    <row r="573" spans="1:10" ht="30" customHeight="1" x14ac:dyDescent="0.2">
      <c r="A573" s="191"/>
      <c r="B573" s="190" t="s">
        <v>256</v>
      </c>
      <c r="C573" s="126">
        <v>24300000</v>
      </c>
      <c r="D573" s="126">
        <f>24300000+4123000-250000+830000+100000+(-300000-330000)+8243-244970.18+382000-1496251.56+472-1000000</f>
        <v>26122493.260000002</v>
      </c>
      <c r="E573" s="130"/>
      <c r="F573" s="130"/>
      <c r="G573" s="126"/>
      <c r="H573" s="130"/>
      <c r="I573" s="130"/>
      <c r="J573" s="6">
        <v>10276500</v>
      </c>
    </row>
    <row r="574" spans="1:10" ht="30" customHeight="1" x14ac:dyDescent="0.2">
      <c r="A574" s="191"/>
      <c r="B574" s="190" t="s">
        <v>255</v>
      </c>
      <c r="C574" s="126"/>
      <c r="D574" s="126"/>
      <c r="E574" s="538"/>
      <c r="F574" s="130"/>
      <c r="G574" s="126"/>
      <c r="H574" s="510"/>
      <c r="I574" s="130"/>
      <c r="J574" s="6"/>
    </row>
    <row r="575" spans="1:10" s="3" customFormat="1" ht="48.75" x14ac:dyDescent="0.2">
      <c r="A575" s="191"/>
      <c r="B575" s="190" t="s">
        <v>253</v>
      </c>
      <c r="C575" s="126">
        <f>+(415+351+130+310+313+57+157-600)*1000</f>
        <v>1133000</v>
      </c>
      <c r="D575" s="126">
        <f>((415+351+130+310+313+57+157-600)*1000)+330000+32201</f>
        <v>1495201</v>
      </c>
      <c r="E575" s="130"/>
      <c r="F575" s="130"/>
      <c r="G575" s="126"/>
      <c r="H575" s="126"/>
      <c r="I575" s="130"/>
      <c r="J575" s="6">
        <v>286552</v>
      </c>
    </row>
    <row r="576" spans="1:10" s="3" customFormat="1" ht="30" customHeight="1" x14ac:dyDescent="0.2">
      <c r="A576" s="191"/>
      <c r="B576" s="194" t="s">
        <v>978</v>
      </c>
      <c r="C576" s="126">
        <v>773000</v>
      </c>
      <c r="D576" s="126">
        <f>773000-32201</f>
        <v>740799</v>
      </c>
      <c r="E576" s="126"/>
      <c r="F576" s="126"/>
      <c r="G576" s="126"/>
      <c r="H576" s="126"/>
      <c r="I576" s="130"/>
      <c r="J576" s="6">
        <v>0</v>
      </c>
    </row>
    <row r="577" spans="1:10" ht="30" customHeight="1" x14ac:dyDescent="0.2">
      <c r="A577" s="193">
        <v>3399</v>
      </c>
      <c r="B577" s="192" t="s">
        <v>252</v>
      </c>
      <c r="C577" s="122">
        <f>C578</f>
        <v>180000</v>
      </c>
      <c r="D577" s="122">
        <f>D578</f>
        <v>180000</v>
      </c>
      <c r="E577" s="121"/>
      <c r="F577" s="130"/>
      <c r="G577" s="120"/>
      <c r="H577" s="120"/>
      <c r="I577" s="120"/>
      <c r="J577" s="162">
        <v>39769</v>
      </c>
    </row>
    <row r="578" spans="1:10" ht="30" customHeight="1" thickBot="1" x14ac:dyDescent="0.25">
      <c r="A578" s="191"/>
      <c r="B578" s="190" t="s">
        <v>251</v>
      </c>
      <c r="C578" s="126">
        <v>180000</v>
      </c>
      <c r="D578" s="126">
        <v>180000</v>
      </c>
      <c r="E578" s="151"/>
      <c r="F578" s="151"/>
      <c r="G578" s="126"/>
      <c r="H578" s="151"/>
      <c r="I578" s="151"/>
      <c r="J578" s="129">
        <v>39769</v>
      </c>
    </row>
    <row r="579" spans="1:10" ht="30" customHeight="1" thickBot="1" x14ac:dyDescent="0.3">
      <c r="A579" s="140"/>
      <c r="B579" s="158" t="s">
        <v>250</v>
      </c>
      <c r="C579" s="189">
        <f>C580</f>
        <v>17576816</v>
      </c>
      <c r="D579" s="189">
        <f>D580</f>
        <v>18817285</v>
      </c>
      <c r="E579" s="479"/>
      <c r="F579" s="536"/>
      <c r="G579" s="479"/>
      <c r="H579" s="479"/>
      <c r="I579" s="479"/>
      <c r="J579" s="129">
        <v>18937940</v>
      </c>
    </row>
    <row r="580" spans="1:10" ht="30" customHeight="1" x14ac:dyDescent="0.2">
      <c r="A580" s="124"/>
      <c r="B580" s="188" t="s">
        <v>249</v>
      </c>
      <c r="C580" s="187">
        <f>SUM(C581:C589)</f>
        <v>17576816</v>
      </c>
      <c r="D580" s="187">
        <f>SUM(D581:D589)</f>
        <v>18817285</v>
      </c>
      <c r="E580" s="120"/>
      <c r="F580" s="126"/>
      <c r="G580" s="120"/>
      <c r="H580" s="120"/>
      <c r="I580" s="120"/>
      <c r="J580" s="14">
        <v>18934940</v>
      </c>
    </row>
    <row r="581" spans="1:10" s="3" customFormat="1" ht="30" customHeight="1" x14ac:dyDescent="0.2">
      <c r="A581" s="132"/>
      <c r="B581" s="183" t="s">
        <v>248</v>
      </c>
      <c r="C581" s="126">
        <v>893000</v>
      </c>
      <c r="D581" s="126">
        <v>893000</v>
      </c>
      <c r="E581" s="130"/>
      <c r="F581" s="130"/>
      <c r="G581" s="126"/>
      <c r="H581" s="126"/>
      <c r="I581" s="126"/>
      <c r="J581" s="14">
        <v>775000</v>
      </c>
    </row>
    <row r="582" spans="1:10" s="3" customFormat="1" ht="30" customHeight="1" x14ac:dyDescent="0.2">
      <c r="A582" s="132"/>
      <c r="B582" s="183" t="s">
        <v>247</v>
      </c>
      <c r="C582" s="126">
        <v>297000</v>
      </c>
      <c r="D582" s="126">
        <v>297000</v>
      </c>
      <c r="E582" s="104"/>
      <c r="F582" s="104"/>
      <c r="G582" s="126"/>
      <c r="H582" s="126"/>
      <c r="I582" s="126"/>
      <c r="J582" s="6">
        <v>144000</v>
      </c>
    </row>
    <row r="583" spans="1:10" s="3" customFormat="1" ht="30" customHeight="1" x14ac:dyDescent="0.2">
      <c r="A583" s="132"/>
      <c r="B583" s="183" t="s">
        <v>246</v>
      </c>
      <c r="C583" s="126">
        <v>3029270</v>
      </c>
      <c r="D583" s="126">
        <v>3029270</v>
      </c>
      <c r="E583" s="126"/>
      <c r="F583" s="126"/>
      <c r="G583" s="126"/>
      <c r="H583" s="126"/>
      <c r="I583" s="126"/>
      <c r="J583" s="6">
        <v>3861500</v>
      </c>
    </row>
    <row r="584" spans="1:10" ht="30" customHeight="1" x14ac:dyDescent="0.2">
      <c r="A584" s="132"/>
      <c r="B584" s="183" t="s">
        <v>245</v>
      </c>
      <c r="C584" s="126">
        <v>5469340</v>
      </c>
      <c r="D584" s="126">
        <v>5469340</v>
      </c>
      <c r="E584" s="130"/>
      <c r="F584" s="130"/>
      <c r="G584" s="126"/>
      <c r="H584" s="126"/>
      <c r="I584" s="126"/>
      <c r="J584" s="6">
        <v>7011000</v>
      </c>
    </row>
    <row r="585" spans="1:10" ht="30" customHeight="1" x14ac:dyDescent="0.2">
      <c r="A585" s="132"/>
      <c r="B585" s="183" t="s">
        <v>244</v>
      </c>
      <c r="C585" s="126">
        <v>40000</v>
      </c>
      <c r="D585" s="126">
        <v>40000</v>
      </c>
      <c r="E585" s="130"/>
      <c r="F585" s="130"/>
      <c r="G585" s="126"/>
      <c r="H585" s="126"/>
      <c r="I585" s="126"/>
      <c r="J585" s="6">
        <v>32000</v>
      </c>
    </row>
    <row r="586" spans="1:10" ht="30" customHeight="1" x14ac:dyDescent="0.2">
      <c r="A586" s="132"/>
      <c r="B586" s="183" t="s">
        <v>243</v>
      </c>
      <c r="C586" s="126">
        <v>6500000</v>
      </c>
      <c r="D586" s="126">
        <v>6500000</v>
      </c>
      <c r="E586" s="130"/>
      <c r="F586" s="130"/>
      <c r="G586" s="126"/>
      <c r="H586" s="126"/>
      <c r="I586" s="126"/>
      <c r="J586" s="6">
        <v>4300000</v>
      </c>
    </row>
    <row r="587" spans="1:10" ht="30" customHeight="1" x14ac:dyDescent="0.2">
      <c r="A587" s="185"/>
      <c r="B587" s="183" t="s">
        <v>242</v>
      </c>
      <c r="C587" s="126">
        <v>666000</v>
      </c>
      <c r="D587" s="126">
        <v>666000</v>
      </c>
      <c r="E587" s="126"/>
      <c r="F587" s="126"/>
      <c r="G587" s="126"/>
      <c r="H587" s="126"/>
      <c r="I587" s="126"/>
      <c r="J587" s="14">
        <v>709000</v>
      </c>
    </row>
    <row r="588" spans="1:10" ht="30" customHeight="1" x14ac:dyDescent="0.2">
      <c r="A588" s="185"/>
      <c r="B588" s="183" t="s">
        <v>241</v>
      </c>
      <c r="C588" s="126">
        <v>84000</v>
      </c>
      <c r="D588" s="126">
        <v>84000</v>
      </c>
      <c r="E588" s="127"/>
      <c r="F588" s="127"/>
      <c r="G588" s="126"/>
      <c r="H588" s="126"/>
      <c r="I588" s="126"/>
      <c r="J588" s="6">
        <v>41000</v>
      </c>
    </row>
    <row r="589" spans="1:10" ht="37.5" thickBot="1" x14ac:dyDescent="0.25">
      <c r="A589" s="184"/>
      <c r="B589" s="183" t="s">
        <v>240</v>
      </c>
      <c r="C589" s="126">
        <v>598206</v>
      </c>
      <c r="D589" s="126">
        <f>598206+500000+79385+267145+213939+100000+80000</f>
        <v>1838675</v>
      </c>
      <c r="E589" s="117"/>
      <c r="F589" s="117"/>
      <c r="G589" s="126"/>
      <c r="H589" s="151"/>
      <c r="I589" s="126"/>
      <c r="J589" s="6">
        <v>1561440</v>
      </c>
    </row>
    <row r="590" spans="1:10" ht="30" customHeight="1" thickBot="1" x14ac:dyDescent="0.35">
      <c r="A590" s="140"/>
      <c r="B590" s="139" t="s">
        <v>239</v>
      </c>
      <c r="C590" s="181">
        <f>SUM(C592)</f>
        <v>24084500</v>
      </c>
      <c r="D590" s="181">
        <f>SUM(D592)</f>
        <v>24224500</v>
      </c>
      <c r="E590" s="181"/>
      <c r="F590" s="710"/>
      <c r="G590" s="571"/>
      <c r="H590" s="181"/>
      <c r="I590" s="181"/>
      <c r="J590" s="14">
        <v>12508147.460000001</v>
      </c>
    </row>
    <row r="591" spans="1:10" ht="30" customHeight="1" x14ac:dyDescent="0.2">
      <c r="A591" s="124">
        <v>5311</v>
      </c>
      <c r="B591" s="180" t="s">
        <v>238</v>
      </c>
      <c r="C591" s="120">
        <f>SUM(C592)</f>
        <v>24084500</v>
      </c>
      <c r="D591" s="120">
        <f>SUM(D592)</f>
        <v>24224500</v>
      </c>
      <c r="E591" s="120"/>
      <c r="F591" s="126"/>
      <c r="G591" s="120"/>
      <c r="H591" s="120"/>
      <c r="I591" s="120"/>
      <c r="J591" s="6">
        <v>12508147.460000001</v>
      </c>
    </row>
    <row r="592" spans="1:10" ht="62.25" x14ac:dyDescent="0.2">
      <c r="A592" s="124"/>
      <c r="B592" s="179" t="s">
        <v>237</v>
      </c>
      <c r="C592" s="126">
        <f>(16000+3968+1440+2+275+1+101+127.5+10+240+1+242+30+3+27+2+579+283+80+7+50+10+100+6+500)*1000</f>
        <v>24084500</v>
      </c>
      <c r="D592" s="126">
        <f>((16000+3968+1440+2+275+1+101+127.5+10+240+1+242+30+3+27+2+579+283+80+7+50+10+100+6+500)*1000)+140000</f>
        <v>24224500</v>
      </c>
      <c r="E592" s="130"/>
      <c r="F592" s="130"/>
      <c r="G592" s="126"/>
      <c r="H592" s="126"/>
      <c r="I592" s="126"/>
      <c r="J592" s="6">
        <v>12508147.460000001</v>
      </c>
    </row>
    <row r="593" spans="1:10" ht="30" customHeight="1" thickBot="1" x14ac:dyDescent="0.25">
      <c r="A593" s="143"/>
      <c r="B593" s="178"/>
      <c r="C593" s="151"/>
      <c r="D593" s="151"/>
      <c r="E593" s="117"/>
      <c r="F593" s="117"/>
      <c r="G593" s="151"/>
      <c r="H593" s="151"/>
      <c r="I593" s="151"/>
      <c r="J593" s="6"/>
    </row>
    <row r="594" spans="1:10" ht="30" customHeight="1" thickBot="1" x14ac:dyDescent="0.35">
      <c r="A594" s="140"/>
      <c r="B594" s="139" t="s">
        <v>236</v>
      </c>
      <c r="C594" s="176">
        <f>SUM(C595:C600)+C609</f>
        <v>34895800</v>
      </c>
      <c r="D594" s="176">
        <f>SUM(D595:D600)+D609</f>
        <v>34705630.560000002</v>
      </c>
      <c r="E594" s="181"/>
      <c r="F594" s="317"/>
      <c r="G594" s="571"/>
      <c r="H594" s="181"/>
      <c r="I594" s="181"/>
      <c r="J594" s="14">
        <v>11154405.380000001</v>
      </c>
    </row>
    <row r="595" spans="1:10" s="3" customFormat="1" ht="36.75" x14ac:dyDescent="0.2">
      <c r="A595" s="138">
        <v>5212</v>
      </c>
      <c r="B595" s="175" t="s">
        <v>235</v>
      </c>
      <c r="C595" s="120">
        <v>169000</v>
      </c>
      <c r="D595" s="120">
        <v>169000</v>
      </c>
      <c r="E595" s="120"/>
      <c r="F595" s="126"/>
      <c r="G595" s="120"/>
      <c r="H595" s="120"/>
      <c r="I595" s="120"/>
      <c r="J595" s="6">
        <v>32407.43</v>
      </c>
    </row>
    <row r="596" spans="1:10" s="17" customFormat="1" ht="36.75" x14ac:dyDescent="0.25">
      <c r="A596" s="124">
        <v>5213</v>
      </c>
      <c r="B596" s="135" t="s">
        <v>234</v>
      </c>
      <c r="C596" s="120">
        <v>300000</v>
      </c>
      <c r="D596" s="120">
        <v>300000</v>
      </c>
      <c r="E596" s="121"/>
      <c r="F596" s="130"/>
      <c r="G596" s="120"/>
      <c r="H596" s="120"/>
      <c r="I596" s="120"/>
      <c r="J596" s="6">
        <v>534808.74</v>
      </c>
    </row>
    <row r="597" spans="1:10" s="3" customFormat="1" ht="24.75" x14ac:dyDescent="0.2">
      <c r="A597" s="124">
        <v>5273</v>
      </c>
      <c r="B597" s="135" t="s">
        <v>233</v>
      </c>
      <c r="C597" s="120">
        <v>5000</v>
      </c>
      <c r="D597" s="120">
        <v>5000</v>
      </c>
      <c r="E597" s="121"/>
      <c r="F597" s="130"/>
      <c r="G597" s="120"/>
      <c r="H597" s="120"/>
      <c r="I597" s="120"/>
      <c r="J597" s="6">
        <v>0</v>
      </c>
    </row>
    <row r="598" spans="1:10" s="17" customFormat="1" ht="30" customHeight="1" x14ac:dyDescent="0.25">
      <c r="A598" s="124">
        <v>5511</v>
      </c>
      <c r="B598" s="135" t="s">
        <v>232</v>
      </c>
      <c r="C598" s="120">
        <v>1800000</v>
      </c>
      <c r="D598" s="120">
        <v>1800000</v>
      </c>
      <c r="E598" s="134"/>
      <c r="F598" s="117"/>
      <c r="G598" s="120"/>
      <c r="H598" s="120"/>
      <c r="I598" s="120"/>
      <c r="J598" s="14">
        <v>1645974</v>
      </c>
    </row>
    <row r="599" spans="1:10" s="17" customFormat="1" ht="36.75" x14ac:dyDescent="0.25">
      <c r="A599" s="124">
        <v>5512</v>
      </c>
      <c r="B599" s="135" t="s">
        <v>231</v>
      </c>
      <c r="C599" s="120">
        <v>332600</v>
      </c>
      <c r="D599" s="120">
        <f>332600+3600</f>
        <v>336200</v>
      </c>
      <c r="E599" s="713"/>
      <c r="F599" s="525"/>
      <c r="G599" s="120"/>
      <c r="H599" s="510"/>
      <c r="I599" s="510"/>
      <c r="J599" s="6">
        <v>102569.81</v>
      </c>
    </row>
    <row r="600" spans="1:10" s="17" customFormat="1" ht="30" customHeight="1" x14ac:dyDescent="0.25">
      <c r="A600" s="124">
        <v>6171</v>
      </c>
      <c r="B600" s="123" t="s">
        <v>219</v>
      </c>
      <c r="C600" s="122">
        <f>SUM(C601:C608)</f>
        <v>30939200</v>
      </c>
      <c r="D600" s="122">
        <f>SUM(D601:D608)</f>
        <v>30745430.559999999</v>
      </c>
      <c r="E600" s="522"/>
      <c r="F600" s="523"/>
      <c r="G600" s="120"/>
      <c r="H600" s="120"/>
      <c r="I600" s="120"/>
      <c r="J600" s="14">
        <v>8296158.4000000004</v>
      </c>
    </row>
    <row r="601" spans="1:10" s="17" customFormat="1" ht="156" x14ac:dyDescent="0.25">
      <c r="A601" s="124"/>
      <c r="B601" s="172" t="s">
        <v>230</v>
      </c>
      <c r="C601" s="126">
        <f>21917200-1500000</f>
        <v>20417200</v>
      </c>
      <c r="D601" s="126">
        <f>(21917200-1500000)-400000+300000-1500000+12587-62000+76838+788000</f>
        <v>19632625</v>
      </c>
      <c r="E601" s="126"/>
      <c r="F601" s="126"/>
      <c r="G601" s="126"/>
      <c r="H601" s="126"/>
      <c r="I601" s="126"/>
      <c r="J601" s="6">
        <v>6463838.7800000003</v>
      </c>
    </row>
    <row r="602" spans="1:10" s="17" customFormat="1" ht="36" x14ac:dyDescent="0.25">
      <c r="A602" s="124"/>
      <c r="B602" s="174" t="s">
        <v>229</v>
      </c>
      <c r="C602" s="126">
        <v>480000</v>
      </c>
      <c r="D602" s="126">
        <f>480000+62000</f>
        <v>542000</v>
      </c>
      <c r="E602" s="130"/>
      <c r="F602" s="130"/>
      <c r="G602" s="126"/>
      <c r="H602" s="126"/>
      <c r="I602" s="126"/>
      <c r="J602" s="6">
        <v>0</v>
      </c>
    </row>
    <row r="603" spans="1:10" s="3" customFormat="1" ht="48" x14ac:dyDescent="0.2">
      <c r="A603" s="132"/>
      <c r="B603" s="173" t="s">
        <v>228</v>
      </c>
      <c r="C603" s="126">
        <v>5977400</v>
      </c>
      <c r="D603" s="126">
        <f>5977400+80000</f>
        <v>6057400</v>
      </c>
      <c r="E603" s="130"/>
      <c r="F603" s="130"/>
      <c r="G603" s="126"/>
      <c r="H603" s="126"/>
      <c r="I603" s="126"/>
      <c r="J603" s="6">
        <v>1536150.33</v>
      </c>
    </row>
    <row r="604" spans="1:10" ht="30" customHeight="1" x14ac:dyDescent="0.2">
      <c r="A604" s="132"/>
      <c r="B604" s="172" t="s">
        <v>227</v>
      </c>
      <c r="C604" s="126">
        <v>3071000</v>
      </c>
      <c r="D604" s="126">
        <f>3071000+(59625+506812.5)-80000</f>
        <v>3557437.5</v>
      </c>
      <c r="E604" s="127"/>
      <c r="F604" s="127"/>
      <c r="G604" s="126"/>
      <c r="H604" s="126"/>
      <c r="I604" s="126"/>
      <c r="J604" s="6">
        <v>0</v>
      </c>
    </row>
    <row r="605" spans="1:10" ht="36.75" x14ac:dyDescent="0.2">
      <c r="A605" s="132"/>
      <c r="B605" s="128" t="s">
        <v>226</v>
      </c>
      <c r="C605" s="126">
        <f>833000-300000</f>
        <v>533000</v>
      </c>
      <c r="D605" s="126">
        <f>833000-300000</f>
        <v>533000</v>
      </c>
      <c r="E605" s="127"/>
      <c r="F605" s="127"/>
      <c r="G605" s="126"/>
      <c r="H605" s="126"/>
      <c r="I605" s="126"/>
      <c r="J605" s="6">
        <v>165371.62</v>
      </c>
    </row>
    <row r="606" spans="1:10" ht="30" customHeight="1" x14ac:dyDescent="0.2">
      <c r="A606" s="132"/>
      <c r="B606" s="155" t="s">
        <v>225</v>
      </c>
      <c r="C606" s="126">
        <v>200000</v>
      </c>
      <c r="D606" s="126">
        <v>200000</v>
      </c>
      <c r="E606" s="127"/>
      <c r="F606" s="127"/>
      <c r="G606" s="126"/>
      <c r="H606" s="126"/>
      <c r="I606" s="126"/>
      <c r="J606" s="14">
        <v>74203.83</v>
      </c>
    </row>
    <row r="607" spans="1:10" ht="30" customHeight="1" x14ac:dyDescent="0.2">
      <c r="A607" s="132"/>
      <c r="B607" s="155" t="s">
        <v>224</v>
      </c>
      <c r="C607" s="126">
        <v>60000</v>
      </c>
      <c r="D607" s="126">
        <v>60000</v>
      </c>
      <c r="E607" s="130"/>
      <c r="F607" s="130"/>
      <c r="G607" s="126"/>
      <c r="H607" s="126"/>
      <c r="I607" s="126"/>
      <c r="J607" s="14">
        <v>17589.900000000001</v>
      </c>
    </row>
    <row r="608" spans="1:10" ht="30" customHeight="1" x14ac:dyDescent="0.2">
      <c r="A608" s="132"/>
      <c r="B608" s="128" t="s">
        <v>223</v>
      </c>
      <c r="C608" s="126">
        <v>200600</v>
      </c>
      <c r="D608" s="126">
        <f>200600-37631.94</f>
        <v>162968.06</v>
      </c>
      <c r="E608" s="130"/>
      <c r="F608" s="130"/>
      <c r="G608" s="126"/>
      <c r="H608" s="126"/>
      <c r="I608" s="126"/>
      <c r="J608" s="6">
        <v>39003.94</v>
      </c>
    </row>
    <row r="609" spans="1:10" ht="30" customHeight="1" x14ac:dyDescent="0.2">
      <c r="A609" s="124">
        <v>6320</v>
      </c>
      <c r="B609" s="123" t="s">
        <v>222</v>
      </c>
      <c r="C609" s="120">
        <v>1350000</v>
      </c>
      <c r="D609" s="120">
        <v>1350000</v>
      </c>
      <c r="E609" s="121"/>
      <c r="F609" s="130"/>
      <c r="G609" s="120"/>
      <c r="H609" s="120"/>
      <c r="I609" s="120"/>
      <c r="J609" s="14">
        <v>542487</v>
      </c>
    </row>
    <row r="610" spans="1:10" ht="30" customHeight="1" thickBot="1" x14ac:dyDescent="0.25">
      <c r="A610" s="169"/>
      <c r="B610" s="168"/>
      <c r="C610" s="151"/>
      <c r="D610" s="151"/>
      <c r="E610" s="526"/>
      <c r="F610" s="326"/>
      <c r="G610" s="526"/>
      <c r="H610" s="526"/>
      <c r="I610" s="526"/>
      <c r="J610" s="6"/>
    </row>
    <row r="611" spans="1:10" ht="30" customHeight="1" thickBot="1" x14ac:dyDescent="0.35">
      <c r="A611" s="140"/>
      <c r="B611" s="139" t="s">
        <v>221</v>
      </c>
      <c r="C611" s="552">
        <f>SUM(C612:C614,C619)</f>
        <v>149365960</v>
      </c>
      <c r="D611" s="552">
        <f>SUM(D612:D614,D619)</f>
        <v>153561427</v>
      </c>
      <c r="E611" s="181"/>
      <c r="F611" s="317"/>
      <c r="G611" s="571"/>
      <c r="H611" s="181"/>
      <c r="I611" s="181"/>
      <c r="J611" s="14">
        <v>60797006.609999999</v>
      </c>
    </row>
    <row r="612" spans="1:10" ht="30" customHeight="1" x14ac:dyDescent="0.2">
      <c r="A612" s="20">
        <v>3341</v>
      </c>
      <c r="B612" s="123" t="s">
        <v>336</v>
      </c>
      <c r="C612" s="120">
        <v>0</v>
      </c>
      <c r="D612" s="120">
        <v>2095129</v>
      </c>
      <c r="E612" s="494"/>
      <c r="F612" s="208"/>
      <c r="G612" s="120"/>
      <c r="H612" s="120"/>
      <c r="I612" s="120"/>
      <c r="J612" s="14">
        <v>853779</v>
      </c>
    </row>
    <row r="613" spans="1:10" s="3" customFormat="1" ht="36.75" x14ac:dyDescent="0.2">
      <c r="A613" s="124">
        <v>6112</v>
      </c>
      <c r="B613" s="135" t="s">
        <v>220</v>
      </c>
      <c r="C613" s="120">
        <v>8946400</v>
      </c>
      <c r="D613" s="120">
        <v>8946400</v>
      </c>
      <c r="E613" s="136"/>
      <c r="F613" s="133"/>
      <c r="G613" s="120"/>
      <c r="H613" s="120"/>
      <c r="I613" s="120"/>
      <c r="J613" s="6">
        <v>4206595</v>
      </c>
    </row>
    <row r="614" spans="1:10" s="3" customFormat="1" ht="30" customHeight="1" x14ac:dyDescent="0.2">
      <c r="A614" s="124">
        <v>6171</v>
      </c>
      <c r="B614" s="123" t="s">
        <v>219</v>
      </c>
      <c r="C614" s="136">
        <f>SUM(C615:C618)</f>
        <v>134519560</v>
      </c>
      <c r="D614" s="136">
        <f>SUM(D615:D618)</f>
        <v>136619898</v>
      </c>
      <c r="E614" s="121"/>
      <c r="F614" s="130"/>
      <c r="G614" s="120"/>
      <c r="H614" s="120"/>
      <c r="I614" s="120"/>
      <c r="J614" s="6">
        <v>53548109.579999998</v>
      </c>
    </row>
    <row r="615" spans="1:10" ht="36" customHeight="1" x14ac:dyDescent="0.2">
      <c r="A615" s="138"/>
      <c r="B615" s="146" t="s">
        <v>218</v>
      </c>
      <c r="C615" s="126">
        <v>120650400</v>
      </c>
      <c r="D615" s="126">
        <f>120650400+(-366300-90800-32900)+(-1137306+1211186)+91988+728860</f>
        <v>121055128</v>
      </c>
      <c r="E615" s="127"/>
      <c r="F615" s="127"/>
      <c r="G615" s="126"/>
      <c r="H615" s="126"/>
      <c r="I615" s="126"/>
      <c r="J615" s="6">
        <v>47617721</v>
      </c>
    </row>
    <row r="616" spans="1:10" ht="30" customHeight="1" x14ac:dyDescent="0.25">
      <c r="A616" s="167"/>
      <c r="B616" s="128" t="s">
        <v>967</v>
      </c>
      <c r="C616" s="126">
        <v>0</v>
      </c>
      <c r="D616" s="126">
        <v>0</v>
      </c>
      <c r="E616" s="117"/>
      <c r="F616" s="117"/>
      <c r="G616" s="126"/>
      <c r="H616" s="126"/>
      <c r="I616" s="126"/>
      <c r="J616" s="6">
        <v>3415155</v>
      </c>
    </row>
    <row r="617" spans="1:10" ht="30" customHeight="1" x14ac:dyDescent="0.25">
      <c r="A617" s="167"/>
      <c r="B617" s="128" t="s">
        <v>217</v>
      </c>
      <c r="C617" s="126">
        <v>7669160</v>
      </c>
      <c r="D617" s="126">
        <f>7669160+(4321750-4201510)-124630</f>
        <v>7664770</v>
      </c>
      <c r="E617" s="117"/>
      <c r="F617" s="117"/>
      <c r="G617" s="126"/>
      <c r="H617" s="126"/>
      <c r="I617" s="126"/>
      <c r="J617" s="6">
        <v>3415155</v>
      </c>
    </row>
    <row r="618" spans="1:10" ht="48.75" x14ac:dyDescent="0.25">
      <c r="A618" s="167"/>
      <c r="B618" s="166" t="s">
        <v>216</v>
      </c>
      <c r="C618" s="126">
        <f>5900000+300000</f>
        <v>6200000</v>
      </c>
      <c r="D618" s="126">
        <f>5900000+300000-300000+2000000</f>
        <v>7900000</v>
      </c>
      <c r="E618" s="130"/>
      <c r="F618" s="130"/>
      <c r="G618" s="126"/>
      <c r="H618" s="130"/>
      <c r="I618" s="130"/>
      <c r="J618" s="6">
        <v>2515233.58</v>
      </c>
    </row>
    <row r="619" spans="1:10" ht="30.75" customHeight="1" x14ac:dyDescent="0.2">
      <c r="A619" s="124">
        <v>6330</v>
      </c>
      <c r="B619" s="123" t="s">
        <v>215</v>
      </c>
      <c r="C619" s="120">
        <v>5900000</v>
      </c>
      <c r="D619" s="120">
        <v>5900000</v>
      </c>
      <c r="E619" s="120"/>
      <c r="F619" s="126"/>
      <c r="G619" s="120"/>
      <c r="H619" s="120"/>
      <c r="I619" s="120"/>
      <c r="J619" s="14">
        <v>3042302.03</v>
      </c>
    </row>
    <row r="620" spans="1:10" ht="30.75" customHeight="1" thickBot="1" x14ac:dyDescent="0.25">
      <c r="A620" s="165"/>
      <c r="B620" s="164"/>
      <c r="C620" s="151"/>
      <c r="D620" s="151"/>
      <c r="E620" s="117"/>
      <c r="F620" s="117"/>
      <c r="G620" s="486"/>
      <c r="H620" s="486"/>
      <c r="I620" s="486"/>
      <c r="J620" s="14"/>
    </row>
    <row r="621" spans="1:10" ht="30.75" customHeight="1" thickBot="1" x14ac:dyDescent="0.35">
      <c r="A621" s="140"/>
      <c r="B621" s="139" t="s">
        <v>214</v>
      </c>
      <c r="C621" s="552">
        <f>C622+C648</f>
        <v>10937288</v>
      </c>
      <c r="D621" s="552">
        <f>D622+D648</f>
        <v>10885956</v>
      </c>
      <c r="E621" s="242"/>
      <c r="F621" s="705"/>
      <c r="G621" s="571"/>
      <c r="H621" s="181"/>
      <c r="I621" s="181"/>
      <c r="J621" s="14">
        <v>6614371.3200000003</v>
      </c>
    </row>
    <row r="622" spans="1:10" ht="30.75" customHeight="1" thickBot="1" x14ac:dyDescent="0.3">
      <c r="A622" s="140"/>
      <c r="B622" s="158" t="s">
        <v>213</v>
      </c>
      <c r="C622" s="163">
        <f>C623+C624+C625+C626+C629+C632+C634+C636+C638+C640+C642+C647</f>
        <v>3067000</v>
      </c>
      <c r="D622" s="163">
        <f>D623+D624+D625+D626+D629+D632+D634+D636+D638+D640+D642+D647</f>
        <v>3015668</v>
      </c>
      <c r="E622" s="479"/>
      <c r="F622" s="317"/>
      <c r="G622" s="479"/>
      <c r="H622" s="479"/>
      <c r="I622" s="479"/>
      <c r="J622" s="14">
        <v>581371.31999999995</v>
      </c>
    </row>
    <row r="623" spans="1:10" ht="30.75" customHeight="1" x14ac:dyDescent="0.2">
      <c r="A623" s="124">
        <v>2293</v>
      </c>
      <c r="B623" s="123" t="s">
        <v>212</v>
      </c>
      <c r="C623" s="120">
        <v>726000</v>
      </c>
      <c r="D623" s="120">
        <v>726000</v>
      </c>
      <c r="E623" s="527"/>
      <c r="F623" s="528"/>
      <c r="G623" s="120"/>
      <c r="H623" s="120"/>
      <c r="I623" s="120"/>
      <c r="J623" s="14">
        <v>345566.4</v>
      </c>
    </row>
    <row r="624" spans="1:10" ht="30.75" customHeight="1" x14ac:dyDescent="0.2">
      <c r="A624" s="124">
        <v>3613</v>
      </c>
      <c r="B624" s="123" t="s">
        <v>211</v>
      </c>
      <c r="C624" s="120">
        <v>3000</v>
      </c>
      <c r="D624" s="120">
        <v>3000</v>
      </c>
      <c r="E624" s="120"/>
      <c r="F624" s="126"/>
      <c r="G624" s="120"/>
      <c r="H624" s="120"/>
      <c r="I624" s="120"/>
      <c r="J624" s="14">
        <v>0</v>
      </c>
    </row>
    <row r="625" spans="1:10" s="17" customFormat="1" ht="30.75" customHeight="1" x14ac:dyDescent="0.25">
      <c r="A625" s="124">
        <v>3632</v>
      </c>
      <c r="B625" s="123" t="s">
        <v>210</v>
      </c>
      <c r="C625" s="120">
        <v>130000</v>
      </c>
      <c r="D625" s="120">
        <v>130000</v>
      </c>
      <c r="E625" s="121"/>
      <c r="F625" s="130"/>
      <c r="G625" s="120"/>
      <c r="H625" s="120"/>
      <c r="I625" s="120"/>
      <c r="J625" s="14">
        <v>116868.55</v>
      </c>
    </row>
    <row r="626" spans="1:10" s="17" customFormat="1" ht="30.75" customHeight="1" x14ac:dyDescent="0.25">
      <c r="A626" s="124">
        <v>4329</v>
      </c>
      <c r="B626" s="123" t="s">
        <v>209</v>
      </c>
      <c r="C626" s="122">
        <f>SUM(C627:C628)</f>
        <v>205000</v>
      </c>
      <c r="D626" s="122">
        <f>SUM(D627:D628)</f>
        <v>253668</v>
      </c>
      <c r="E626" s="121"/>
      <c r="F626" s="130"/>
      <c r="G626" s="120"/>
      <c r="H626" s="120"/>
      <c r="I626" s="120"/>
      <c r="J626" s="14">
        <v>5456</v>
      </c>
    </row>
    <row r="627" spans="1:10" s="3" customFormat="1" ht="30.75" customHeight="1" x14ac:dyDescent="0.2">
      <c r="A627" s="124"/>
      <c r="B627" s="131" t="s">
        <v>208</v>
      </c>
      <c r="C627" s="126">
        <v>5000</v>
      </c>
      <c r="D627" s="9">
        <f>5000-1332</f>
        <v>3668</v>
      </c>
      <c r="E627" s="130"/>
      <c r="F627" s="130"/>
      <c r="G627" s="126"/>
      <c r="H627" s="126"/>
      <c r="I627" s="126"/>
      <c r="J627" s="14">
        <v>2856</v>
      </c>
    </row>
    <row r="628" spans="1:10" s="3" customFormat="1" ht="30.75" customHeight="1" x14ac:dyDescent="0.2">
      <c r="A628" s="124"/>
      <c r="B628" s="131" t="s">
        <v>207</v>
      </c>
      <c r="C628" s="126">
        <v>200000</v>
      </c>
      <c r="D628" s="126">
        <f>200000+50000</f>
        <v>250000</v>
      </c>
      <c r="E628" s="130"/>
      <c r="F628" s="130"/>
      <c r="G628" s="126"/>
      <c r="H628" s="126"/>
      <c r="I628" s="126"/>
      <c r="J628" s="14">
        <v>0</v>
      </c>
    </row>
    <row r="629" spans="1:10" s="3" customFormat="1" ht="30.75" customHeight="1" x14ac:dyDescent="0.2">
      <c r="A629" s="124">
        <v>4339</v>
      </c>
      <c r="B629" s="123" t="s">
        <v>206</v>
      </c>
      <c r="C629" s="122">
        <f>SUM(C630:C631)</f>
        <v>0</v>
      </c>
      <c r="D629" s="122">
        <f>SUM(D630:D631)</f>
        <v>0</v>
      </c>
      <c r="E629" s="121"/>
      <c r="F629" s="130"/>
      <c r="G629" s="120"/>
      <c r="H629" s="120"/>
      <c r="I629" s="120"/>
      <c r="J629" s="14">
        <v>0</v>
      </c>
    </row>
    <row r="630" spans="1:10" s="3" customFormat="1" ht="30.75" customHeight="1" x14ac:dyDescent="0.2">
      <c r="A630" s="124"/>
      <c r="B630" s="131" t="s">
        <v>205</v>
      </c>
      <c r="C630" s="126">
        <v>0</v>
      </c>
      <c r="D630" s="126">
        <v>0</v>
      </c>
      <c r="E630" s="130"/>
      <c r="F630" s="130"/>
      <c r="G630" s="126"/>
      <c r="H630" s="126"/>
      <c r="I630" s="126"/>
      <c r="J630" s="14">
        <v>0</v>
      </c>
    </row>
    <row r="631" spans="1:10" s="3" customFormat="1" ht="30.75" customHeight="1" x14ac:dyDescent="0.2">
      <c r="A631" s="124"/>
      <c r="B631" s="131" t="s">
        <v>998</v>
      </c>
      <c r="C631" s="126">
        <v>0</v>
      </c>
      <c r="D631" s="126">
        <f>5000-5000</f>
        <v>0</v>
      </c>
      <c r="E631" s="130"/>
      <c r="F631" s="130"/>
      <c r="G631" s="126"/>
      <c r="H631" s="126"/>
      <c r="I631" s="126"/>
      <c r="J631" s="14">
        <v>2856</v>
      </c>
    </row>
    <row r="632" spans="1:10" s="3" customFormat="1" ht="30.75" customHeight="1" x14ac:dyDescent="0.2">
      <c r="A632" s="124">
        <v>4344</v>
      </c>
      <c r="B632" s="123" t="s">
        <v>204</v>
      </c>
      <c r="C632" s="122">
        <f>SUM(C633:C633)</f>
        <v>298000</v>
      </c>
      <c r="D632" s="122">
        <f>SUM(D633:D633)</f>
        <v>298000</v>
      </c>
      <c r="E632" s="134"/>
      <c r="F632" s="117"/>
      <c r="G632" s="120"/>
      <c r="H632" s="120"/>
      <c r="I632" s="120"/>
      <c r="J632" s="14">
        <v>0</v>
      </c>
    </row>
    <row r="633" spans="1:10" s="3" customFormat="1" ht="30.75" customHeight="1" x14ac:dyDescent="0.2">
      <c r="A633" s="132"/>
      <c r="B633" s="123" t="s">
        <v>203</v>
      </c>
      <c r="C633" s="126">
        <v>298000</v>
      </c>
      <c r="D633" s="126">
        <v>298000</v>
      </c>
      <c r="E633" s="117"/>
      <c r="F633" s="117"/>
      <c r="G633" s="126"/>
      <c r="H633" s="126"/>
      <c r="I633" s="126"/>
      <c r="J633" s="14">
        <v>0</v>
      </c>
    </row>
    <row r="634" spans="1:10" ht="30.75" customHeight="1" x14ac:dyDescent="0.2">
      <c r="A634" s="124">
        <v>4349</v>
      </c>
      <c r="B634" s="123" t="s">
        <v>202</v>
      </c>
      <c r="C634" s="122">
        <f>SUM(C635:C635)</f>
        <v>250000</v>
      </c>
      <c r="D634" s="122">
        <f>SUM(D635:D635)</f>
        <v>150000</v>
      </c>
      <c r="E634" s="122"/>
      <c r="F634" s="10"/>
      <c r="G634" s="120"/>
      <c r="H634" s="120"/>
      <c r="I634" s="120"/>
      <c r="J634" s="14">
        <v>0</v>
      </c>
    </row>
    <row r="635" spans="1:10" ht="30.75" customHeight="1" x14ac:dyDescent="0.2">
      <c r="A635" s="132"/>
      <c r="B635" s="155" t="s">
        <v>201</v>
      </c>
      <c r="C635" s="126">
        <v>250000</v>
      </c>
      <c r="D635" s="126">
        <f>250000-100000</f>
        <v>150000</v>
      </c>
      <c r="E635" s="133"/>
      <c r="F635" s="133"/>
      <c r="G635" s="126"/>
      <c r="H635" s="126"/>
      <c r="I635" s="126"/>
      <c r="J635" s="14">
        <v>0</v>
      </c>
    </row>
    <row r="636" spans="1:10" ht="30.75" customHeight="1" x14ac:dyDescent="0.2">
      <c r="A636" s="124">
        <v>4351</v>
      </c>
      <c r="B636" s="123" t="s">
        <v>200</v>
      </c>
      <c r="C636" s="122">
        <f>SUM(C637:C637)</f>
        <v>35000</v>
      </c>
      <c r="D636" s="122">
        <f>SUM(D637:D637)</f>
        <v>35000</v>
      </c>
      <c r="E636" s="120"/>
      <c r="F636" s="126"/>
      <c r="G636" s="120"/>
      <c r="H636" s="120"/>
      <c r="I636" s="120"/>
      <c r="J636" s="6">
        <v>0</v>
      </c>
    </row>
    <row r="637" spans="1:10" s="3" customFormat="1" ht="30.75" customHeight="1" x14ac:dyDescent="0.2">
      <c r="A637" s="132"/>
      <c r="B637" s="131" t="s">
        <v>198</v>
      </c>
      <c r="C637" s="126">
        <v>35000</v>
      </c>
      <c r="D637" s="126">
        <v>35000</v>
      </c>
      <c r="E637" s="130"/>
      <c r="F637" s="130"/>
      <c r="G637" s="126"/>
      <c r="H637" s="126"/>
      <c r="I637" s="126"/>
      <c r="J637" s="129">
        <v>0</v>
      </c>
    </row>
    <row r="638" spans="1:10" ht="30.75" customHeight="1" x14ac:dyDescent="0.2">
      <c r="A638" s="124">
        <v>4371</v>
      </c>
      <c r="B638" s="123" t="s">
        <v>199</v>
      </c>
      <c r="C638" s="122">
        <f>SUM(C639:C639)</f>
        <v>240000</v>
      </c>
      <c r="D638" s="122">
        <f>SUM(D639:D639)</f>
        <v>240000</v>
      </c>
      <c r="E638" s="120"/>
      <c r="F638" s="126"/>
      <c r="G638" s="120"/>
      <c r="H638" s="120"/>
      <c r="I638" s="120"/>
      <c r="J638" s="125">
        <v>0</v>
      </c>
    </row>
    <row r="639" spans="1:10" ht="30.75" customHeight="1" x14ac:dyDescent="0.2">
      <c r="A639" s="132"/>
      <c r="B639" s="131" t="s">
        <v>198</v>
      </c>
      <c r="C639" s="126">
        <v>240000</v>
      </c>
      <c r="D639" s="126">
        <v>240000</v>
      </c>
      <c r="E639" s="130"/>
      <c r="F639" s="130"/>
      <c r="G639" s="126"/>
      <c r="H639" s="126"/>
      <c r="I639" s="126"/>
      <c r="J639" s="14">
        <v>0</v>
      </c>
    </row>
    <row r="640" spans="1:10" s="3" customFormat="1" ht="30.75" customHeight="1" x14ac:dyDescent="0.2">
      <c r="A640" s="124">
        <v>4374</v>
      </c>
      <c r="B640" s="161" t="s">
        <v>39</v>
      </c>
      <c r="C640" s="122">
        <f>SUM(C641:C641)</f>
        <v>822000</v>
      </c>
      <c r="D640" s="122">
        <f>SUM(D641:D641)</f>
        <v>822000</v>
      </c>
      <c r="E640" s="121"/>
      <c r="F640" s="130"/>
      <c r="G640" s="120"/>
      <c r="H640" s="120"/>
      <c r="I640" s="120"/>
      <c r="J640" s="14">
        <v>0</v>
      </c>
    </row>
    <row r="641" spans="1:10" ht="30.75" customHeight="1" x14ac:dyDescent="0.2">
      <c r="A641" s="132"/>
      <c r="B641" s="131" t="s">
        <v>198</v>
      </c>
      <c r="C641" s="126">
        <v>822000</v>
      </c>
      <c r="D641" s="126">
        <v>822000</v>
      </c>
      <c r="E641" s="130"/>
      <c r="F641" s="130"/>
      <c r="G641" s="126"/>
      <c r="H641" s="126"/>
      <c r="I641" s="126"/>
      <c r="J641" s="14">
        <v>0</v>
      </c>
    </row>
    <row r="642" spans="1:10" s="3" customFormat="1" ht="30.75" customHeight="1" x14ac:dyDescent="0.2">
      <c r="A642" s="124">
        <v>4379</v>
      </c>
      <c r="B642" s="123" t="s">
        <v>197</v>
      </c>
      <c r="C642" s="122">
        <f>SUM(C643:C646)</f>
        <v>345000</v>
      </c>
      <c r="D642" s="122">
        <f>SUM(D643:D646)</f>
        <v>345000</v>
      </c>
      <c r="E642" s="121"/>
      <c r="F642" s="130"/>
      <c r="G642" s="120"/>
      <c r="H642" s="121"/>
      <c r="I642" s="121"/>
      <c r="J642" s="125">
        <v>84375.55</v>
      </c>
    </row>
    <row r="643" spans="1:10" ht="30.75" customHeight="1" x14ac:dyDescent="0.2">
      <c r="A643" s="132"/>
      <c r="B643" s="155" t="s">
        <v>196</v>
      </c>
      <c r="C643" s="126">
        <v>232000</v>
      </c>
      <c r="D643" s="126">
        <v>232000</v>
      </c>
      <c r="E643" s="126"/>
      <c r="F643" s="126"/>
      <c r="G643" s="126"/>
      <c r="H643" s="126"/>
      <c r="I643" s="126"/>
      <c r="J643" s="14">
        <v>53724.85</v>
      </c>
    </row>
    <row r="644" spans="1:10" s="160" customFormat="1" ht="30.75" customHeight="1" x14ac:dyDescent="0.2">
      <c r="A644" s="132"/>
      <c r="B644" s="155" t="s">
        <v>195</v>
      </c>
      <c r="C644" s="126">
        <v>59000</v>
      </c>
      <c r="D644" s="126">
        <v>59000</v>
      </c>
      <c r="E644" s="130"/>
      <c r="F644" s="130"/>
      <c r="G644" s="126"/>
      <c r="H644" s="126"/>
      <c r="I644" s="126"/>
      <c r="J644" s="14">
        <v>14343</v>
      </c>
    </row>
    <row r="645" spans="1:10" ht="30.75" customHeight="1" x14ac:dyDescent="0.2">
      <c r="A645" s="132"/>
      <c r="B645" s="155" t="s">
        <v>194</v>
      </c>
      <c r="C645" s="126">
        <v>44000</v>
      </c>
      <c r="D645" s="126">
        <v>44000</v>
      </c>
      <c r="E645" s="130"/>
      <c r="F645" s="130"/>
      <c r="G645" s="126"/>
      <c r="H645" s="126"/>
      <c r="I645" s="126"/>
      <c r="J645" s="14">
        <v>16307.7</v>
      </c>
    </row>
    <row r="646" spans="1:10" s="3" customFormat="1" ht="30.75" customHeight="1" x14ac:dyDescent="0.2">
      <c r="A646" s="132"/>
      <c r="B646" s="155" t="s">
        <v>193</v>
      </c>
      <c r="C646" s="126">
        <v>10000</v>
      </c>
      <c r="D646" s="126">
        <v>10000</v>
      </c>
      <c r="E646" s="130"/>
      <c r="F646" s="130"/>
      <c r="G646" s="126"/>
      <c r="H646" s="126"/>
      <c r="I646" s="126"/>
      <c r="J646" s="14">
        <v>0</v>
      </c>
    </row>
    <row r="647" spans="1:10" ht="30.75" customHeight="1" thickBot="1" x14ac:dyDescent="0.25">
      <c r="A647" s="124">
        <v>4399</v>
      </c>
      <c r="B647" s="135" t="s">
        <v>968</v>
      </c>
      <c r="C647" s="120">
        <v>13000</v>
      </c>
      <c r="D647" s="120">
        <f>13000</f>
        <v>13000</v>
      </c>
      <c r="E647" s="121"/>
      <c r="F647" s="130"/>
      <c r="G647" s="120"/>
      <c r="H647" s="486"/>
      <c r="I647" s="120"/>
      <c r="J647" s="6">
        <v>29104.82</v>
      </c>
    </row>
    <row r="648" spans="1:10" ht="30.75" customHeight="1" thickBot="1" x14ac:dyDescent="0.3">
      <c r="A648" s="140"/>
      <c r="B648" s="158" t="s">
        <v>191</v>
      </c>
      <c r="C648" s="157">
        <f>C649</f>
        <v>7870288</v>
      </c>
      <c r="D648" s="157">
        <f>D649</f>
        <v>7870288</v>
      </c>
      <c r="E648" s="479"/>
      <c r="F648" s="536"/>
      <c r="G648" s="479"/>
      <c r="H648" s="479"/>
      <c r="I648" s="479"/>
      <c r="J648" s="14">
        <v>6033000</v>
      </c>
    </row>
    <row r="649" spans="1:10" ht="30.75" customHeight="1" x14ac:dyDescent="0.2">
      <c r="A649" s="156"/>
      <c r="B649" s="137" t="s">
        <v>190</v>
      </c>
      <c r="C649" s="122">
        <f>SUM(C650:C657)</f>
        <v>7870288</v>
      </c>
      <c r="D649" s="122">
        <f>SUM(D650:D657)</f>
        <v>7870288</v>
      </c>
      <c r="E649" s="120"/>
      <c r="F649" s="126"/>
      <c r="G649" s="120"/>
      <c r="H649" s="120"/>
      <c r="I649" s="120"/>
      <c r="J649" s="14">
        <v>6033000</v>
      </c>
    </row>
    <row r="650" spans="1:10" s="3" customFormat="1" ht="30.75" customHeight="1" x14ac:dyDescent="0.2">
      <c r="A650" s="156"/>
      <c r="B650" s="155" t="s">
        <v>189</v>
      </c>
      <c r="C650" s="126">
        <v>190000</v>
      </c>
      <c r="D650" s="126">
        <v>190000</v>
      </c>
      <c r="E650" s="130"/>
      <c r="F650" s="130"/>
      <c r="G650" s="126"/>
      <c r="H650" s="126"/>
      <c r="I650" s="126"/>
      <c r="J650" s="14">
        <v>148000</v>
      </c>
    </row>
    <row r="651" spans="1:10" ht="30.75" customHeight="1" x14ac:dyDescent="0.2">
      <c r="A651" s="156"/>
      <c r="B651" s="155" t="s">
        <v>188</v>
      </c>
      <c r="C651" s="126">
        <v>170000</v>
      </c>
      <c r="D651" s="126">
        <v>170000</v>
      </c>
      <c r="E651" s="130"/>
      <c r="F651" s="130"/>
      <c r="G651" s="126"/>
      <c r="H651" s="126"/>
      <c r="I651" s="126"/>
      <c r="J651" s="14">
        <v>82000</v>
      </c>
    </row>
    <row r="652" spans="1:10" ht="30.75" customHeight="1" x14ac:dyDescent="0.2">
      <c r="A652" s="156"/>
      <c r="B652" s="155" t="s">
        <v>187</v>
      </c>
      <c r="C652" s="126">
        <v>5594688</v>
      </c>
      <c r="D652" s="126">
        <f>5594688-47000</f>
        <v>5547688</v>
      </c>
      <c r="E652" s="130"/>
      <c r="F652" s="130"/>
      <c r="G652" s="126"/>
      <c r="H652" s="126"/>
      <c r="I652" s="126"/>
      <c r="J652" s="14">
        <v>5062900</v>
      </c>
    </row>
    <row r="653" spans="1:10" ht="30.75" customHeight="1" x14ac:dyDescent="0.2">
      <c r="A653" s="156"/>
      <c r="B653" s="155" t="s">
        <v>186</v>
      </c>
      <c r="C653" s="126">
        <v>1217600</v>
      </c>
      <c r="D653" s="126">
        <v>1217600</v>
      </c>
      <c r="E653" s="130"/>
      <c r="F653" s="130"/>
      <c r="G653" s="126"/>
      <c r="H653" s="126"/>
      <c r="I653" s="126"/>
      <c r="J653" s="14">
        <v>396100</v>
      </c>
    </row>
    <row r="654" spans="1:10" ht="30.75" customHeight="1" x14ac:dyDescent="0.2">
      <c r="A654" s="156"/>
      <c r="B654" s="155" t="s">
        <v>185</v>
      </c>
      <c r="C654" s="126">
        <v>298000</v>
      </c>
      <c r="D654" s="126">
        <f>298000-12000-15000-10000-45000</f>
        <v>216000</v>
      </c>
      <c r="E654" s="130"/>
      <c r="F654" s="130"/>
      <c r="G654" s="126"/>
      <c r="H654" s="126"/>
      <c r="I654" s="126"/>
      <c r="J654" s="14">
        <v>120000</v>
      </c>
    </row>
    <row r="655" spans="1:10" ht="30.75" customHeight="1" x14ac:dyDescent="0.2">
      <c r="A655" s="156"/>
      <c r="B655" s="155" t="s">
        <v>184</v>
      </c>
      <c r="C655" s="126">
        <v>250000</v>
      </c>
      <c r="D655" s="126">
        <v>250000</v>
      </c>
      <c r="E655" s="130"/>
      <c r="F655" s="130"/>
      <c r="G655" s="126"/>
      <c r="H655" s="126"/>
      <c r="I655" s="126"/>
      <c r="J655" s="14">
        <v>180000</v>
      </c>
    </row>
    <row r="656" spans="1:10" ht="30.75" customHeight="1" x14ac:dyDescent="0.2">
      <c r="A656" s="124"/>
      <c r="B656" s="155" t="s">
        <v>183</v>
      </c>
      <c r="C656" s="126">
        <v>150000</v>
      </c>
      <c r="D656" s="126">
        <v>150000</v>
      </c>
      <c r="E656" s="126"/>
      <c r="F656" s="126"/>
      <c r="G656" s="126"/>
      <c r="H656" s="126"/>
      <c r="I656" s="126"/>
      <c r="J656" s="6">
        <v>0</v>
      </c>
    </row>
    <row r="657" spans="1:10" ht="30.75" customHeight="1" x14ac:dyDescent="0.2">
      <c r="A657" s="124"/>
      <c r="B657" s="154" t="s">
        <v>182</v>
      </c>
      <c r="C657" s="126">
        <v>0</v>
      </c>
      <c r="D657" s="126">
        <f>12000+15000+10000+45000+47000</f>
        <v>129000</v>
      </c>
      <c r="E657" s="130"/>
      <c r="F657" s="130"/>
      <c r="G657" s="126"/>
      <c r="H657" s="126"/>
      <c r="I657" s="126"/>
      <c r="J657" s="14">
        <v>44000</v>
      </c>
    </row>
    <row r="658" spans="1:10" ht="30.75" customHeight="1" thickBot="1" x14ac:dyDescent="0.25">
      <c r="A658" s="143"/>
      <c r="B658" s="153"/>
      <c r="C658" s="151"/>
      <c r="D658" s="151"/>
      <c r="E658" s="117"/>
      <c r="F658" s="117"/>
      <c r="G658" s="151"/>
      <c r="H658" s="151"/>
      <c r="I658" s="151"/>
      <c r="J658" s="14"/>
    </row>
    <row r="659" spans="1:10" ht="30.75" customHeight="1" thickBot="1" x14ac:dyDescent="0.25">
      <c r="A659" s="143"/>
      <c r="B659" s="150" t="s">
        <v>181</v>
      </c>
      <c r="C659" s="242">
        <f>C660</f>
        <v>13505100</v>
      </c>
      <c r="D659" s="242">
        <f>D660</f>
        <v>20952447</v>
      </c>
      <c r="E659" s="181"/>
      <c r="F659" s="710"/>
      <c r="G659" s="571"/>
      <c r="H659" s="181"/>
      <c r="I659" s="181"/>
      <c r="J659" s="6">
        <v>5393122.71</v>
      </c>
    </row>
    <row r="660" spans="1:10" ht="30.75" customHeight="1" x14ac:dyDescent="0.2">
      <c r="A660" s="119">
        <v>4351</v>
      </c>
      <c r="B660" s="149" t="s">
        <v>180</v>
      </c>
      <c r="C660" s="148">
        <f>SUM(C661:C663)</f>
        <v>13505100</v>
      </c>
      <c r="D660" s="148">
        <f>SUM(D661:D663)</f>
        <v>20952447</v>
      </c>
      <c r="E660" s="120"/>
      <c r="F660" s="126"/>
      <c r="G660" s="120"/>
      <c r="H660" s="120"/>
      <c r="I660" s="120"/>
      <c r="J660" s="201">
        <v>5393122.71</v>
      </c>
    </row>
    <row r="661" spans="1:10" ht="60" x14ac:dyDescent="0.2">
      <c r="A661" s="132"/>
      <c r="B661" s="146" t="s">
        <v>179</v>
      </c>
      <c r="C661" s="145">
        <v>6835500</v>
      </c>
      <c r="D661" s="145">
        <f>6835500+(541000+2820000)+635148+40950-50000+23000+16292</f>
        <v>10861890</v>
      </c>
      <c r="E661" s="130"/>
      <c r="F661" s="130"/>
      <c r="G661" s="126"/>
      <c r="H661" s="126"/>
      <c r="I661" s="126"/>
      <c r="J661" s="125">
        <v>2599511.81</v>
      </c>
    </row>
    <row r="662" spans="1:10" ht="48" x14ac:dyDescent="0.2">
      <c r="A662" s="132"/>
      <c r="B662" s="146" t="s">
        <v>178</v>
      </c>
      <c r="C662" s="147">
        <v>1739300</v>
      </c>
      <c r="D662" s="147">
        <f>1739300+(190000+550000)+164975+30000</f>
        <v>2674275</v>
      </c>
      <c r="E662" s="130"/>
      <c r="F662" s="130"/>
      <c r="G662" s="126"/>
      <c r="H662" s="126"/>
      <c r="I662" s="126"/>
      <c r="J662" s="6">
        <v>548828.30000000005</v>
      </c>
    </row>
    <row r="663" spans="1:10" ht="36" x14ac:dyDescent="0.2">
      <c r="A663" s="124"/>
      <c r="B663" s="146" t="s">
        <v>177</v>
      </c>
      <c r="C663" s="145">
        <v>4930300</v>
      </c>
      <c r="D663" s="145">
        <f>4930300+1483000+595143+46839+50000+(36000+275000)</f>
        <v>7416282</v>
      </c>
      <c r="E663" s="130"/>
      <c r="F663" s="130"/>
      <c r="G663" s="126"/>
      <c r="H663" s="126"/>
      <c r="I663" s="126"/>
      <c r="J663" s="6">
        <v>2244782.6</v>
      </c>
    </row>
    <row r="664" spans="1:10" ht="30" customHeight="1" thickBot="1" x14ac:dyDescent="0.25">
      <c r="A664" s="143"/>
      <c r="B664" s="142"/>
      <c r="C664" s="141"/>
      <c r="D664" s="141"/>
      <c r="E664" s="134"/>
      <c r="F664" s="117"/>
      <c r="G664" s="486"/>
      <c r="H664" s="486"/>
      <c r="I664" s="486"/>
      <c r="J664" s="14"/>
    </row>
    <row r="665" spans="1:10" ht="30" customHeight="1" thickBot="1" x14ac:dyDescent="0.35">
      <c r="A665" s="140"/>
      <c r="B665" s="139" t="s">
        <v>176</v>
      </c>
      <c r="C665" s="242">
        <f>SUM(C666:C674,C678:C681,C686,C687)</f>
        <v>58483000</v>
      </c>
      <c r="D665" s="242">
        <f>SUM(D666:D674,D678:D681,D686,D687)</f>
        <v>48709145.5</v>
      </c>
      <c r="E665" s="181"/>
      <c r="F665" s="317"/>
      <c r="G665" s="571"/>
      <c r="H665" s="181"/>
      <c r="I665" s="181"/>
      <c r="J665" s="14">
        <v>19750953.670000002</v>
      </c>
    </row>
    <row r="666" spans="1:10" ht="30" customHeight="1" x14ac:dyDescent="0.2">
      <c r="A666" s="138">
        <v>1014</v>
      </c>
      <c r="B666" s="137" t="s">
        <v>175</v>
      </c>
      <c r="C666" s="120">
        <v>770000</v>
      </c>
      <c r="D666" s="120">
        <v>770000</v>
      </c>
      <c r="E666" s="553"/>
      <c r="F666" s="714"/>
      <c r="G666" s="120"/>
      <c r="H666" s="120"/>
      <c r="I666" s="120"/>
      <c r="J666" s="14">
        <v>122484</v>
      </c>
    </row>
    <row r="667" spans="1:10" ht="30" customHeight="1" x14ac:dyDescent="0.2">
      <c r="A667" s="124">
        <v>1031</v>
      </c>
      <c r="B667" s="123" t="s">
        <v>174</v>
      </c>
      <c r="C667" s="120">
        <v>436000</v>
      </c>
      <c r="D667" s="120">
        <f>436000+44100</f>
        <v>480100</v>
      </c>
      <c r="E667" s="121"/>
      <c r="F667" s="130"/>
      <c r="G667" s="120"/>
      <c r="H667" s="120"/>
      <c r="I667" s="120"/>
      <c r="J667" s="14">
        <v>82116</v>
      </c>
    </row>
    <row r="668" spans="1:10" ht="30" customHeight="1" x14ac:dyDescent="0.2">
      <c r="A668" s="124">
        <v>1036</v>
      </c>
      <c r="B668" s="123" t="s">
        <v>173</v>
      </c>
      <c r="C668" s="120">
        <v>100000</v>
      </c>
      <c r="D668" s="120">
        <v>100000</v>
      </c>
      <c r="E668" s="121"/>
      <c r="F668" s="130"/>
      <c r="G668" s="120"/>
      <c r="H668" s="120"/>
      <c r="I668" s="120"/>
      <c r="J668" s="14">
        <v>40492</v>
      </c>
    </row>
    <row r="669" spans="1:10" s="17" customFormat="1" ht="30" customHeight="1" x14ac:dyDescent="0.25">
      <c r="A669" s="124">
        <v>1037</v>
      </c>
      <c r="B669" s="123" t="s">
        <v>172</v>
      </c>
      <c r="C669" s="120">
        <v>20000</v>
      </c>
      <c r="D669" s="120">
        <v>20000</v>
      </c>
      <c r="E669" s="540"/>
      <c r="F669" s="487"/>
      <c r="G669" s="120"/>
      <c r="H669" s="120"/>
      <c r="I669" s="120"/>
      <c r="J669" s="14">
        <v>10240.64</v>
      </c>
    </row>
    <row r="670" spans="1:10" s="3" customFormat="1" ht="30" customHeight="1" x14ac:dyDescent="0.2">
      <c r="A670" s="124">
        <v>1039</v>
      </c>
      <c r="B670" s="123" t="s">
        <v>171</v>
      </c>
      <c r="C670" s="120">
        <v>200000</v>
      </c>
      <c r="D670" s="120">
        <v>200000</v>
      </c>
      <c r="E670" s="121"/>
      <c r="F670" s="2"/>
      <c r="G670" s="120"/>
      <c r="H670" s="120"/>
      <c r="I670" s="120"/>
      <c r="J670" s="14">
        <v>0</v>
      </c>
    </row>
    <row r="671" spans="1:10" s="3" customFormat="1" ht="30" customHeight="1" x14ac:dyDescent="0.2">
      <c r="A671" s="124">
        <v>2369</v>
      </c>
      <c r="B671" s="123" t="s">
        <v>170</v>
      </c>
      <c r="C671" s="120">
        <v>370000</v>
      </c>
      <c r="D671" s="120">
        <v>370000</v>
      </c>
      <c r="E671" s="121"/>
      <c r="F671" s="10"/>
      <c r="G671" s="120"/>
      <c r="H671" s="120"/>
      <c r="I671" s="120"/>
      <c r="J671" s="14">
        <v>400</v>
      </c>
    </row>
    <row r="672" spans="1:10" customFormat="1" ht="30" customHeight="1" x14ac:dyDescent="0.2">
      <c r="A672" s="71">
        <v>3639</v>
      </c>
      <c r="B672" s="58" t="s">
        <v>925</v>
      </c>
      <c r="C672" s="63">
        <v>0</v>
      </c>
      <c r="D672" s="63">
        <v>84350</v>
      </c>
      <c r="E672" s="549"/>
      <c r="F672" s="496"/>
      <c r="G672" s="120"/>
      <c r="H672" s="121"/>
      <c r="I672" s="121"/>
      <c r="J672" s="14">
        <v>900865.74</v>
      </c>
    </row>
    <row r="673" spans="1:246" s="3" customFormat="1" ht="30" customHeight="1" x14ac:dyDescent="0.2">
      <c r="A673" s="124">
        <v>3721</v>
      </c>
      <c r="B673" s="123" t="s">
        <v>169</v>
      </c>
      <c r="C673" s="120">
        <v>50000</v>
      </c>
      <c r="D673" s="120">
        <v>50000</v>
      </c>
      <c r="E673" s="121"/>
      <c r="F673" s="130"/>
      <c r="G673" s="120"/>
      <c r="H673" s="120"/>
      <c r="I673" s="120"/>
      <c r="J673" s="14">
        <v>25200</v>
      </c>
    </row>
    <row r="674" spans="1:246" s="3" customFormat="1" ht="30" customHeight="1" x14ac:dyDescent="0.2">
      <c r="A674" s="124">
        <v>3722</v>
      </c>
      <c r="B674" s="123" t="s">
        <v>168</v>
      </c>
      <c r="C674" s="122">
        <f>SUM(C675:C677)</f>
        <v>27100000</v>
      </c>
      <c r="D674" s="122">
        <f>SUM(D675:D677)</f>
        <v>26260100</v>
      </c>
      <c r="E674" s="18"/>
      <c r="F674" s="10"/>
      <c r="G674" s="120"/>
      <c r="H674" s="120"/>
      <c r="I674" s="120"/>
      <c r="J674" s="6">
        <v>10826036.439999999</v>
      </c>
    </row>
    <row r="675" spans="1:246" s="3" customFormat="1" ht="30" customHeight="1" x14ac:dyDescent="0.2">
      <c r="A675" s="124"/>
      <c r="B675" s="131" t="s">
        <v>167</v>
      </c>
      <c r="C675" s="126">
        <v>24500000</v>
      </c>
      <c r="D675" s="126">
        <f>24500000+120100-600000</f>
        <v>24020100</v>
      </c>
      <c r="E675" s="130"/>
      <c r="F675" s="130"/>
      <c r="G675" s="126"/>
      <c r="H675" s="126"/>
      <c r="I675" s="126"/>
      <c r="J675" s="14">
        <v>10477500</v>
      </c>
    </row>
    <row r="676" spans="1:246" s="3" customFormat="1" ht="30" customHeight="1" x14ac:dyDescent="0.2">
      <c r="A676" s="124"/>
      <c r="B676" s="131" t="s">
        <v>166</v>
      </c>
      <c r="C676" s="126">
        <f>2140000+100000</f>
        <v>2240000</v>
      </c>
      <c r="D676" s="126">
        <f>2140000+100000</f>
        <v>2240000</v>
      </c>
      <c r="E676" s="130"/>
      <c r="F676" s="130"/>
      <c r="G676" s="126"/>
      <c r="H676" s="126"/>
      <c r="I676" s="126"/>
      <c r="J676" s="14">
        <v>348536.44</v>
      </c>
    </row>
    <row r="677" spans="1:246" s="3" customFormat="1" ht="30" customHeight="1" x14ac:dyDescent="0.2">
      <c r="A677" s="124"/>
      <c r="B677" s="128" t="s">
        <v>165</v>
      </c>
      <c r="C677" s="126">
        <v>360000</v>
      </c>
      <c r="D677" s="9">
        <f>360000-360000-110000+110000</f>
        <v>0</v>
      </c>
      <c r="E677" s="130"/>
      <c r="F677" s="499"/>
      <c r="G677" s="126"/>
      <c r="H677" s="126"/>
      <c r="I677" s="126"/>
      <c r="J677" s="14">
        <v>0</v>
      </c>
    </row>
    <row r="678" spans="1:246" s="3" customFormat="1" ht="30" customHeight="1" x14ac:dyDescent="0.2">
      <c r="A678" s="124">
        <v>3733</v>
      </c>
      <c r="B678" s="123" t="s">
        <v>164</v>
      </c>
      <c r="C678" s="120">
        <v>65000</v>
      </c>
      <c r="D678" s="120">
        <v>65000</v>
      </c>
      <c r="E678" s="121"/>
      <c r="F678" s="2"/>
      <c r="G678" s="120"/>
      <c r="H678" s="120"/>
      <c r="I678" s="120"/>
      <c r="J678" s="14">
        <v>0</v>
      </c>
    </row>
    <row r="679" spans="1:246" s="3" customFormat="1" ht="30" customHeight="1" x14ac:dyDescent="0.2">
      <c r="A679" s="124">
        <v>3742</v>
      </c>
      <c r="B679" s="135" t="s">
        <v>163</v>
      </c>
      <c r="C679" s="120">
        <v>100000</v>
      </c>
      <c r="D679" s="120">
        <f>100000+59955.5</f>
        <v>159955.5</v>
      </c>
      <c r="E679" s="121"/>
      <c r="F679" s="130"/>
      <c r="G679" s="120"/>
      <c r="H679" s="120"/>
      <c r="I679" s="120"/>
      <c r="J679" s="14">
        <v>0</v>
      </c>
    </row>
    <row r="680" spans="1:246" s="3" customFormat="1" ht="30" customHeight="1" x14ac:dyDescent="0.2">
      <c r="A680" s="124">
        <v>3743</v>
      </c>
      <c r="B680" s="123" t="s">
        <v>162</v>
      </c>
      <c r="C680" s="120">
        <v>2000</v>
      </c>
      <c r="D680" s="120">
        <v>2000</v>
      </c>
      <c r="E680" s="121"/>
      <c r="F680" s="130"/>
      <c r="G680" s="120"/>
      <c r="H680" s="120"/>
      <c r="I680" s="120"/>
      <c r="J680" s="14">
        <v>0</v>
      </c>
    </row>
    <row r="681" spans="1:246" s="3" customFormat="1" ht="30" customHeight="1" x14ac:dyDescent="0.2">
      <c r="A681" s="124">
        <v>3745</v>
      </c>
      <c r="B681" s="123" t="s">
        <v>161</v>
      </c>
      <c r="C681" s="122">
        <f>SUM(C682:C685)</f>
        <v>29115000</v>
      </c>
      <c r="D681" s="122">
        <f>SUM(D682:D685)</f>
        <v>19692640</v>
      </c>
      <c r="E681" s="121"/>
      <c r="F681" s="130"/>
      <c r="G681" s="120"/>
      <c r="H681" s="120"/>
      <c r="I681" s="120"/>
      <c r="J681" s="14">
        <v>8634498.5899999999</v>
      </c>
    </row>
    <row r="682" spans="1:246" s="3" customFormat="1" ht="30" customHeight="1" x14ac:dyDescent="0.2">
      <c r="A682" s="124"/>
      <c r="B682" s="131" t="s">
        <v>160</v>
      </c>
      <c r="C682" s="126">
        <v>150000</v>
      </c>
      <c r="D682" s="126">
        <v>150000</v>
      </c>
      <c r="E682" s="127"/>
      <c r="F682" s="127"/>
      <c r="G682" s="126"/>
      <c r="H682" s="126"/>
      <c r="I682" s="126"/>
      <c r="J682" s="14">
        <v>0</v>
      </c>
    </row>
    <row r="683" spans="1:246" s="3" customFormat="1" ht="30" customHeight="1" x14ac:dyDescent="0.2">
      <c r="A683" s="132"/>
      <c r="B683" s="131" t="s">
        <v>159</v>
      </c>
      <c r="C683" s="126">
        <v>16000000</v>
      </c>
      <c r="D683" s="126">
        <f>16000000+234740+107900</f>
        <v>16342640</v>
      </c>
      <c r="E683" s="130"/>
      <c r="F683" s="130"/>
      <c r="G683" s="126"/>
      <c r="H683" s="126"/>
      <c r="I683" s="126"/>
      <c r="J683" s="6">
        <v>7309998</v>
      </c>
    </row>
    <row r="684" spans="1:246" s="3" customFormat="1" ht="30" customHeight="1" x14ac:dyDescent="0.2">
      <c r="A684" s="132"/>
      <c r="B684" s="131" t="s">
        <v>158</v>
      </c>
      <c r="C684" s="126">
        <v>3200000</v>
      </c>
      <c r="D684" s="126">
        <v>3200000</v>
      </c>
      <c r="E684" s="130"/>
      <c r="F684" s="130"/>
      <c r="G684" s="126"/>
      <c r="H684" s="126"/>
      <c r="I684" s="126"/>
      <c r="J684" s="6">
        <v>391440.59</v>
      </c>
    </row>
    <row r="685" spans="1:246" s="3" customFormat="1" ht="30" customHeight="1" x14ac:dyDescent="0.2">
      <c r="A685" s="124"/>
      <c r="B685" s="128" t="s">
        <v>979</v>
      </c>
      <c r="C685" s="126">
        <f>9285000+480000</f>
        <v>9765000</v>
      </c>
      <c r="D685" s="126">
        <f>(9285000+480000)-234740-1000000-8530260+110000-110000</f>
        <v>0</v>
      </c>
      <c r="E685" s="130"/>
      <c r="F685" s="130"/>
      <c r="G685" s="126"/>
      <c r="H685" s="126"/>
      <c r="I685" s="126"/>
      <c r="J685" s="6">
        <v>933060</v>
      </c>
    </row>
    <row r="686" spans="1:246" ht="30" customHeight="1" thickBot="1" x14ac:dyDescent="0.25">
      <c r="A686" s="124">
        <v>3792</v>
      </c>
      <c r="B686" s="123" t="s">
        <v>156</v>
      </c>
      <c r="C686" s="120">
        <v>155000</v>
      </c>
      <c r="D686" s="120">
        <v>155000</v>
      </c>
      <c r="E686" s="121"/>
      <c r="F686" s="130"/>
      <c r="G686" s="120"/>
      <c r="H686" s="120"/>
      <c r="I686" s="120"/>
      <c r="J686" s="14">
        <v>9486</v>
      </c>
    </row>
    <row r="687" spans="1:246" s="3" customFormat="1" ht="30" customHeight="1" thickBot="1" x14ac:dyDescent="0.3">
      <c r="A687" s="45"/>
      <c r="B687" s="44" t="s">
        <v>914</v>
      </c>
      <c r="C687" s="43">
        <f>SUM(C688:C689)</f>
        <v>0</v>
      </c>
      <c r="D687" s="43">
        <f>SUM(D688:D689)</f>
        <v>300000</v>
      </c>
      <c r="E687" s="479"/>
      <c r="F687" s="536"/>
      <c r="G687" s="479"/>
      <c r="H687" s="479"/>
      <c r="I687" s="479"/>
      <c r="J687" s="6">
        <v>0</v>
      </c>
      <c r="K687" s="41"/>
      <c r="L687" s="41"/>
      <c r="M687" s="41"/>
      <c r="N687" s="41"/>
      <c r="O687" s="41"/>
      <c r="P687" s="41"/>
      <c r="Q687" s="41"/>
      <c r="R687" s="41"/>
      <c r="S687" s="41"/>
      <c r="T687" s="41"/>
      <c r="U687" s="41"/>
      <c r="V687" s="41"/>
      <c r="W687" s="41"/>
      <c r="X687" s="41"/>
      <c r="Y687" s="41"/>
      <c r="Z687" s="41"/>
      <c r="AA687" s="41"/>
      <c r="AB687" s="41"/>
      <c r="AC687" s="41"/>
      <c r="AD687" s="41"/>
      <c r="AE687" s="41"/>
      <c r="AF687" s="41"/>
      <c r="AG687" s="41"/>
      <c r="AH687" s="41"/>
      <c r="AI687" s="41"/>
      <c r="AJ687" s="41"/>
      <c r="AK687" s="41"/>
      <c r="AL687" s="41"/>
      <c r="AM687" s="41"/>
      <c r="AN687" s="41"/>
      <c r="AO687" s="41"/>
      <c r="AP687" s="41"/>
      <c r="AQ687" s="41"/>
      <c r="AR687" s="41"/>
      <c r="AS687" s="41"/>
      <c r="AT687" s="41"/>
      <c r="AU687" s="41"/>
      <c r="AV687" s="41"/>
      <c r="AW687" s="41"/>
      <c r="AX687" s="41"/>
      <c r="AY687" s="41"/>
      <c r="AZ687" s="41"/>
      <c r="BA687" s="41"/>
      <c r="BB687" s="41"/>
      <c r="BC687" s="41"/>
      <c r="BD687" s="41"/>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c r="CT687" s="41"/>
      <c r="CU687" s="41"/>
      <c r="CV687" s="41"/>
      <c r="CW687" s="41"/>
      <c r="CX687" s="41"/>
      <c r="CY687" s="41"/>
      <c r="CZ687" s="41"/>
      <c r="DA687" s="41"/>
      <c r="DB687" s="41"/>
      <c r="DC687" s="41"/>
      <c r="DD687" s="41"/>
      <c r="DE687" s="41"/>
      <c r="DF687" s="41"/>
      <c r="DG687" s="41"/>
      <c r="DH687" s="41"/>
      <c r="DI687" s="41"/>
      <c r="DJ687" s="41"/>
      <c r="DK687" s="41"/>
      <c r="DL687" s="41"/>
      <c r="DM687" s="41"/>
      <c r="DN687" s="41"/>
      <c r="DO687" s="41"/>
      <c r="DP687" s="41"/>
      <c r="DQ687" s="41"/>
      <c r="DR687" s="41"/>
      <c r="DS687" s="41"/>
      <c r="DT687" s="41"/>
      <c r="DU687" s="41"/>
      <c r="DV687" s="41"/>
      <c r="DW687" s="41"/>
      <c r="DX687" s="41"/>
      <c r="DY687" s="41"/>
      <c r="DZ687" s="41"/>
      <c r="EA687" s="41"/>
      <c r="EB687" s="41"/>
      <c r="EC687" s="41"/>
      <c r="ED687" s="41"/>
      <c r="EE687" s="41"/>
      <c r="EF687" s="41"/>
      <c r="EG687" s="41"/>
      <c r="EH687" s="41"/>
      <c r="EI687" s="41"/>
      <c r="EJ687" s="41"/>
      <c r="EK687" s="41"/>
      <c r="EL687" s="41"/>
      <c r="EM687" s="41"/>
      <c r="EN687" s="41"/>
      <c r="EO687" s="41"/>
      <c r="EP687" s="41"/>
      <c r="EQ687" s="41"/>
      <c r="ER687" s="41"/>
      <c r="ES687" s="41"/>
      <c r="ET687" s="41"/>
      <c r="EU687" s="41"/>
      <c r="EV687" s="41"/>
      <c r="EW687" s="41"/>
      <c r="EX687" s="41"/>
      <c r="EY687" s="41"/>
      <c r="EZ687" s="41"/>
      <c r="FA687" s="41"/>
      <c r="FB687" s="41"/>
      <c r="FC687" s="41"/>
      <c r="FD687" s="41"/>
      <c r="FE687" s="41"/>
      <c r="FF687" s="41"/>
      <c r="FG687" s="41"/>
      <c r="FH687" s="41"/>
      <c r="FI687" s="41"/>
      <c r="FJ687" s="41"/>
      <c r="FK687" s="41"/>
      <c r="FL687" s="41"/>
      <c r="FM687" s="41"/>
      <c r="FN687" s="41"/>
      <c r="FO687" s="41"/>
      <c r="FP687" s="41"/>
      <c r="FQ687" s="41"/>
      <c r="FR687" s="41"/>
      <c r="FS687" s="41"/>
      <c r="FT687" s="41"/>
      <c r="FU687" s="41"/>
      <c r="FV687" s="41"/>
      <c r="FW687" s="41"/>
      <c r="FX687" s="41"/>
      <c r="FY687" s="41"/>
      <c r="FZ687" s="41"/>
      <c r="GA687" s="41"/>
      <c r="GB687" s="41"/>
      <c r="GC687" s="41"/>
      <c r="GD687" s="41"/>
      <c r="GE687" s="41"/>
      <c r="GF687" s="41"/>
      <c r="GG687" s="41"/>
      <c r="GH687" s="41"/>
      <c r="GI687" s="41"/>
      <c r="GJ687" s="41"/>
      <c r="GK687" s="41"/>
      <c r="GL687" s="41"/>
      <c r="GM687" s="41"/>
      <c r="GN687" s="41"/>
      <c r="GO687" s="41"/>
      <c r="GP687" s="41"/>
      <c r="GQ687" s="41"/>
      <c r="GR687" s="41"/>
      <c r="GS687" s="41"/>
      <c r="GT687" s="41"/>
      <c r="GU687" s="41"/>
      <c r="GV687" s="41"/>
      <c r="GW687" s="41"/>
      <c r="GX687" s="41"/>
      <c r="GY687" s="41"/>
      <c r="GZ687" s="41"/>
      <c r="HA687" s="41"/>
      <c r="HB687" s="41"/>
      <c r="HC687" s="41"/>
      <c r="HD687" s="41"/>
      <c r="HE687" s="41"/>
      <c r="HF687" s="41"/>
      <c r="HG687" s="41"/>
      <c r="HH687" s="41"/>
      <c r="HI687" s="41"/>
      <c r="HJ687" s="41"/>
      <c r="HK687" s="41"/>
      <c r="HL687" s="41"/>
      <c r="HM687" s="41"/>
      <c r="HN687" s="41"/>
      <c r="HO687" s="41"/>
      <c r="HP687" s="41"/>
      <c r="HQ687" s="41"/>
      <c r="HR687" s="41"/>
      <c r="HS687" s="41"/>
      <c r="HT687" s="41"/>
      <c r="HU687" s="41"/>
      <c r="HV687" s="41"/>
      <c r="HW687" s="41"/>
      <c r="HX687" s="41"/>
      <c r="HY687" s="41"/>
      <c r="HZ687" s="41"/>
      <c r="IA687" s="41"/>
      <c r="IB687" s="41"/>
      <c r="IC687" s="41"/>
      <c r="ID687" s="41"/>
      <c r="IE687" s="41"/>
      <c r="IF687" s="41"/>
      <c r="IG687" s="41"/>
      <c r="IH687" s="41"/>
      <c r="II687" s="41"/>
      <c r="IJ687" s="41"/>
      <c r="IK687" s="41"/>
      <c r="IL687" s="41"/>
    </row>
    <row r="688" spans="1:246" ht="30" customHeight="1" x14ac:dyDescent="0.2">
      <c r="A688" s="264" t="s">
        <v>915</v>
      </c>
      <c r="B688" s="263" t="s">
        <v>917</v>
      </c>
      <c r="C688" s="262">
        <v>0</v>
      </c>
      <c r="D688" s="262">
        <v>150000</v>
      </c>
      <c r="E688" s="492"/>
      <c r="F688" s="9"/>
      <c r="G688" s="126"/>
      <c r="H688" s="126"/>
      <c r="I688" s="126"/>
      <c r="J688" s="14">
        <v>0</v>
      </c>
    </row>
    <row r="689" spans="1:10" ht="30" customHeight="1" x14ac:dyDescent="0.2">
      <c r="A689" s="261" t="s">
        <v>916</v>
      </c>
      <c r="B689" s="260" t="s">
        <v>918</v>
      </c>
      <c r="C689" s="259">
        <v>0</v>
      </c>
      <c r="D689" s="259">
        <v>150000</v>
      </c>
      <c r="E689" s="10"/>
      <c r="F689" s="10"/>
      <c r="G689" s="126"/>
      <c r="H689" s="126"/>
      <c r="I689" s="126"/>
      <c r="J689" s="14">
        <v>0</v>
      </c>
    </row>
    <row r="690" spans="1:10" ht="30" customHeight="1" thickBot="1" x14ac:dyDescent="0.25">
      <c r="A690" s="119"/>
      <c r="B690" s="118"/>
      <c r="C690" s="117"/>
      <c r="D690" s="117"/>
      <c r="E690" s="134"/>
      <c r="F690" s="117"/>
      <c r="G690" s="486"/>
      <c r="H690" s="486"/>
      <c r="I690" s="486"/>
      <c r="J690" s="14"/>
    </row>
    <row r="691" spans="1:10" customFormat="1" ht="30" customHeight="1" thickBot="1" x14ac:dyDescent="0.25">
      <c r="A691" s="116"/>
      <c r="B691" s="115" t="s">
        <v>155</v>
      </c>
      <c r="C691" s="114">
        <f>SUM(C692,C693,C719,C754,C807,C823,C824,C828)</f>
        <v>224822000</v>
      </c>
      <c r="D691" s="114">
        <f>SUM(D692,D693,D719,D754,D807,D823,D824,D828)</f>
        <v>205758852.30000001</v>
      </c>
      <c r="E691" s="181"/>
      <c r="F691" s="317"/>
      <c r="G691" s="571"/>
      <c r="H691" s="181"/>
      <c r="I691" s="181"/>
      <c r="J691" s="6">
        <v>58427008.799999997</v>
      </c>
    </row>
    <row r="692" spans="1:10" customFormat="1" ht="30" customHeight="1" x14ac:dyDescent="0.2">
      <c r="A692" s="113">
        <v>3122</v>
      </c>
      <c r="B692" s="112" t="s">
        <v>154</v>
      </c>
      <c r="C692" s="111">
        <v>376000</v>
      </c>
      <c r="D692" s="111">
        <v>376000</v>
      </c>
      <c r="E692" s="120"/>
      <c r="F692" s="126"/>
      <c r="G692" s="120"/>
      <c r="H692" s="120"/>
      <c r="I692" s="120"/>
      <c r="J692" s="14">
        <v>275040</v>
      </c>
    </row>
    <row r="693" spans="1:10" customFormat="1" ht="30" customHeight="1" x14ac:dyDescent="0.2">
      <c r="A693" s="59">
        <v>3412</v>
      </c>
      <c r="B693" s="91" t="s">
        <v>153</v>
      </c>
      <c r="C693" s="57">
        <f>C694+C708</f>
        <v>38471000</v>
      </c>
      <c r="D693" s="57">
        <f>D694+D708</f>
        <v>30060382.27</v>
      </c>
      <c r="E693" s="121"/>
      <c r="F693" s="130"/>
      <c r="G693" s="120"/>
      <c r="H693" s="120"/>
      <c r="I693" s="120"/>
      <c r="J693" s="14">
        <v>30372665.68</v>
      </c>
    </row>
    <row r="694" spans="1:10" customFormat="1" ht="30" customHeight="1" x14ac:dyDescent="0.2">
      <c r="A694" s="59"/>
      <c r="B694" s="110" t="s">
        <v>152</v>
      </c>
      <c r="C694" s="57">
        <f>C695+C698+C703</f>
        <v>25637000</v>
      </c>
      <c r="D694" s="57">
        <f>D695+D698+D703</f>
        <v>22895000</v>
      </c>
      <c r="E694" s="121"/>
      <c r="F694" s="130"/>
      <c r="G694" s="120"/>
      <c r="H694" s="120"/>
      <c r="I694" s="120"/>
      <c r="J694" s="14">
        <v>14962701.74</v>
      </c>
    </row>
    <row r="695" spans="1:10" customFormat="1" ht="30" customHeight="1" x14ac:dyDescent="0.2">
      <c r="A695" s="59"/>
      <c r="B695" s="69" t="s">
        <v>132</v>
      </c>
      <c r="C695" s="52">
        <f>SUM(C696:C697)</f>
        <v>1600000</v>
      </c>
      <c r="D695" s="52">
        <f>SUM(D696:D697)</f>
        <v>500000</v>
      </c>
      <c r="E695" s="130"/>
      <c r="F695" s="130"/>
      <c r="G695" s="126"/>
      <c r="H695" s="126"/>
      <c r="I695" s="126"/>
      <c r="J695" s="14">
        <v>140360</v>
      </c>
    </row>
    <row r="696" spans="1:10" customFormat="1" ht="30" customHeight="1" x14ac:dyDescent="0.2">
      <c r="A696" s="59"/>
      <c r="B696" s="102" t="s">
        <v>151</v>
      </c>
      <c r="C696" s="108">
        <v>1300000</v>
      </c>
      <c r="D696" s="108">
        <f>1300000-1100000</f>
        <v>200000</v>
      </c>
      <c r="E696" s="130"/>
      <c r="F696" s="130"/>
      <c r="G696" s="126"/>
      <c r="H696" s="126"/>
      <c r="I696" s="126"/>
      <c r="J696" s="14">
        <v>0</v>
      </c>
    </row>
    <row r="697" spans="1:10" customFormat="1" ht="30" customHeight="1" x14ac:dyDescent="0.2">
      <c r="A697" s="59"/>
      <c r="B697" s="102" t="s">
        <v>150</v>
      </c>
      <c r="C697" s="75">
        <v>300000</v>
      </c>
      <c r="D697" s="75">
        <v>300000</v>
      </c>
      <c r="E697" s="130"/>
      <c r="F697" s="10"/>
      <c r="G697" s="126"/>
      <c r="H697" s="126"/>
      <c r="I697" s="126"/>
      <c r="J697" s="14">
        <v>0</v>
      </c>
    </row>
    <row r="698" spans="1:10" customFormat="1" ht="30" customHeight="1" x14ac:dyDescent="0.2">
      <c r="A698" s="59"/>
      <c r="B698" s="78" t="s">
        <v>149</v>
      </c>
      <c r="C698" s="52">
        <f>SUM(C699:C702)</f>
        <v>850000</v>
      </c>
      <c r="D698" s="52">
        <f>SUM(D699:D702)</f>
        <v>343400</v>
      </c>
      <c r="E698" s="130"/>
      <c r="F698" s="10"/>
      <c r="G698" s="126"/>
      <c r="H698" s="126"/>
      <c r="I698" s="126"/>
      <c r="J698" s="14">
        <v>3006650.74</v>
      </c>
    </row>
    <row r="699" spans="1:10" customFormat="1" ht="30" customHeight="1" x14ac:dyDescent="0.2">
      <c r="A699" s="59"/>
      <c r="B699" s="78" t="s">
        <v>869</v>
      </c>
      <c r="C699" s="10">
        <v>200000</v>
      </c>
      <c r="D699" s="10">
        <f>200000-6600</f>
        <v>193400</v>
      </c>
      <c r="E699" s="130"/>
      <c r="F699" s="130"/>
      <c r="G699" s="126"/>
      <c r="H699" s="126"/>
      <c r="I699" s="126"/>
      <c r="J699" s="14">
        <v>0</v>
      </c>
    </row>
    <row r="700" spans="1:10" customFormat="1" ht="30" customHeight="1" x14ac:dyDescent="0.2">
      <c r="A700" s="59"/>
      <c r="B700" s="78" t="s">
        <v>148</v>
      </c>
      <c r="C700" s="10">
        <v>100000</v>
      </c>
      <c r="D700" s="10">
        <v>100000</v>
      </c>
      <c r="E700" s="130"/>
      <c r="F700" s="130"/>
      <c r="G700" s="126"/>
      <c r="H700" s="126"/>
      <c r="I700" s="126"/>
      <c r="J700" s="14">
        <v>0</v>
      </c>
    </row>
    <row r="701" spans="1:10" customFormat="1" ht="30" customHeight="1" x14ac:dyDescent="0.2">
      <c r="A701" s="59"/>
      <c r="B701" s="62" t="s">
        <v>147</v>
      </c>
      <c r="C701" s="10">
        <v>150000</v>
      </c>
      <c r="D701" s="10">
        <f>150000-100000</f>
        <v>50000</v>
      </c>
      <c r="E701" s="130"/>
      <c r="F701" s="130"/>
      <c r="G701" s="126"/>
      <c r="H701" s="126"/>
      <c r="I701" s="126"/>
      <c r="J701" s="14">
        <v>0</v>
      </c>
    </row>
    <row r="702" spans="1:10" customFormat="1" ht="30" customHeight="1" x14ac:dyDescent="0.2">
      <c r="A702" s="59"/>
      <c r="B702" s="78" t="s">
        <v>146</v>
      </c>
      <c r="C702" s="10">
        <v>400000</v>
      </c>
      <c r="D702" s="10">
        <f>400000-400000</f>
        <v>0</v>
      </c>
      <c r="E702" s="10"/>
      <c r="F702" s="10"/>
      <c r="G702" s="126"/>
      <c r="H702" s="126"/>
      <c r="I702" s="126"/>
      <c r="J702" s="14">
        <v>0</v>
      </c>
    </row>
    <row r="703" spans="1:10" customFormat="1" ht="30" customHeight="1" x14ac:dyDescent="0.2">
      <c r="A703" s="59"/>
      <c r="B703" s="69" t="s">
        <v>140</v>
      </c>
      <c r="C703" s="57">
        <f>SUM(C704:C707)</f>
        <v>23187000</v>
      </c>
      <c r="D703" s="57">
        <f>SUM(D704:D707)</f>
        <v>22051600</v>
      </c>
      <c r="E703" s="122"/>
      <c r="F703" s="10"/>
      <c r="G703" s="120"/>
      <c r="H703" s="120"/>
      <c r="I703" s="120"/>
      <c r="J703" s="14">
        <v>11815691</v>
      </c>
    </row>
    <row r="704" spans="1:10" customFormat="1" ht="30" customHeight="1" x14ac:dyDescent="0.2">
      <c r="A704" s="54"/>
      <c r="B704" s="56" t="s">
        <v>145</v>
      </c>
      <c r="C704" s="10">
        <v>23142000</v>
      </c>
      <c r="D704" s="10">
        <f>23142000-1142000+6600+(-243788.99+96122.4)+(-200174+197230)</f>
        <v>21855989.41</v>
      </c>
      <c r="E704" s="127"/>
      <c r="F704" s="127"/>
      <c r="G704" s="126"/>
      <c r="H704" s="126"/>
      <c r="I704" s="126"/>
      <c r="J704" s="14">
        <v>11815691</v>
      </c>
    </row>
    <row r="705" spans="1:10" customFormat="1" ht="30" customHeight="1" x14ac:dyDescent="0.2">
      <c r="A705" s="54"/>
      <c r="B705" s="69" t="s">
        <v>1040</v>
      </c>
      <c r="C705" s="10">
        <v>0</v>
      </c>
      <c r="D705" s="10">
        <f>147666.59+2944</f>
        <v>150610.59</v>
      </c>
      <c r="E705" s="127"/>
      <c r="F705" s="2"/>
      <c r="G705" s="126"/>
      <c r="H705" s="126"/>
      <c r="I705" s="126"/>
      <c r="J705" s="14">
        <v>0</v>
      </c>
    </row>
    <row r="706" spans="1:10" customFormat="1" ht="30" customHeight="1" x14ac:dyDescent="0.2">
      <c r="A706" s="54"/>
      <c r="B706" s="69" t="s">
        <v>144</v>
      </c>
      <c r="C706" s="10">
        <v>13000</v>
      </c>
      <c r="D706" s="10">
        <v>13000</v>
      </c>
      <c r="E706" s="127"/>
      <c r="F706" s="127"/>
      <c r="G706" s="126"/>
      <c r="H706" s="126"/>
      <c r="I706" s="126"/>
      <c r="J706" s="14">
        <v>0</v>
      </c>
    </row>
    <row r="707" spans="1:10" customFormat="1" ht="30" customHeight="1" x14ac:dyDescent="0.2">
      <c r="A707" s="54"/>
      <c r="B707" s="69" t="s">
        <v>143</v>
      </c>
      <c r="C707" s="10">
        <v>32000</v>
      </c>
      <c r="D707" s="10">
        <v>32000</v>
      </c>
      <c r="E707" s="127"/>
      <c r="F707" s="127"/>
      <c r="G707" s="126"/>
      <c r="H707" s="126"/>
      <c r="I707" s="126"/>
      <c r="J707" s="14">
        <v>0</v>
      </c>
    </row>
    <row r="708" spans="1:10" customFormat="1" ht="30" customHeight="1" x14ac:dyDescent="0.2">
      <c r="A708" s="54"/>
      <c r="B708" s="84" t="s">
        <v>142</v>
      </c>
      <c r="C708" s="57">
        <f>C709+C711+C715</f>
        <v>12834000</v>
      </c>
      <c r="D708" s="57">
        <f>D709+D711+D715</f>
        <v>7165382.2699999996</v>
      </c>
      <c r="E708" s="521"/>
      <c r="F708" s="152"/>
      <c r="G708" s="120"/>
      <c r="H708" s="120"/>
      <c r="I708" s="120"/>
      <c r="J708" s="14">
        <v>15409963.939999999</v>
      </c>
    </row>
    <row r="709" spans="1:10" customFormat="1" ht="30" customHeight="1" x14ac:dyDescent="0.2">
      <c r="A709" s="54"/>
      <c r="B709" s="69" t="s">
        <v>132</v>
      </c>
      <c r="C709" s="64">
        <f>SUM(C710:C710)</f>
        <v>800000</v>
      </c>
      <c r="D709" s="64">
        <f>SUM(D710:D710)</f>
        <v>200000</v>
      </c>
      <c r="E709" s="152"/>
      <c r="F709" s="127"/>
      <c r="G709" s="126"/>
      <c r="H709" s="126"/>
      <c r="I709" s="126"/>
      <c r="J709" s="14">
        <v>10597574.58</v>
      </c>
    </row>
    <row r="710" spans="1:10" customFormat="1" ht="30" customHeight="1" x14ac:dyDescent="0.2">
      <c r="A710" s="54"/>
      <c r="B710" s="53" t="s">
        <v>141</v>
      </c>
      <c r="C710" s="10">
        <v>800000</v>
      </c>
      <c r="D710" s="10">
        <f>800000-600000</f>
        <v>200000</v>
      </c>
      <c r="E710" s="503"/>
      <c r="F710" s="127"/>
      <c r="G710" s="126"/>
      <c r="H710" s="126"/>
      <c r="I710" s="126"/>
      <c r="J710" s="129">
        <v>0</v>
      </c>
    </row>
    <row r="711" spans="1:10" customFormat="1" ht="30" customHeight="1" x14ac:dyDescent="0.2">
      <c r="A711" s="54"/>
      <c r="B711" s="69" t="s">
        <v>140</v>
      </c>
      <c r="C711" s="52">
        <f>SUM(C712:C714)</f>
        <v>9884000</v>
      </c>
      <c r="D711" s="52">
        <f>SUM(D712:D714)</f>
        <v>6115382.2699999996</v>
      </c>
      <c r="E711" s="127"/>
      <c r="F711" s="127"/>
      <c r="G711" s="126"/>
      <c r="H711" s="126"/>
      <c r="I711" s="126"/>
      <c r="J711" s="14">
        <v>4595218.5599999996</v>
      </c>
    </row>
    <row r="712" spans="1:10" customFormat="1" ht="30" customHeight="1" x14ac:dyDescent="0.2">
      <c r="A712" s="54"/>
      <c r="B712" s="69" t="s">
        <v>139</v>
      </c>
      <c r="C712" s="10">
        <v>9850000</v>
      </c>
      <c r="D712" s="10">
        <f>9850000-850000+(-65241.69+62543.69)-2500000-2000-277022.24-418617.73</f>
        <v>5799662.0299999993</v>
      </c>
      <c r="E712" s="127"/>
      <c r="F712" s="127"/>
      <c r="G712" s="126"/>
      <c r="H712" s="126"/>
      <c r="I712" s="126"/>
      <c r="J712" s="14">
        <v>4595218.5599999996</v>
      </c>
    </row>
    <row r="713" spans="1:10" customFormat="1" ht="30" customHeight="1" x14ac:dyDescent="0.2">
      <c r="A713" s="54"/>
      <c r="B713" s="69" t="s">
        <v>1015</v>
      </c>
      <c r="C713" s="10">
        <v>0</v>
      </c>
      <c r="D713" s="10">
        <f>2698+2000+277022.24</f>
        <v>281720.24</v>
      </c>
      <c r="E713" s="127"/>
      <c r="F713" s="2"/>
      <c r="G713" s="126"/>
      <c r="H713" s="126"/>
      <c r="I713" s="126"/>
      <c r="J713" s="14">
        <v>0</v>
      </c>
    </row>
    <row r="714" spans="1:10" customFormat="1" ht="30" customHeight="1" x14ac:dyDescent="0.2">
      <c r="A714" s="54"/>
      <c r="B714" s="69" t="s">
        <v>138</v>
      </c>
      <c r="C714" s="10">
        <v>34000</v>
      </c>
      <c r="D714" s="10">
        <v>34000</v>
      </c>
      <c r="E714" s="127"/>
      <c r="F714" s="2"/>
      <c r="G714" s="126"/>
      <c r="H714" s="126"/>
      <c r="I714" s="126"/>
      <c r="J714" s="14">
        <v>0</v>
      </c>
    </row>
    <row r="715" spans="1:10" customFormat="1" ht="30" customHeight="1" x14ac:dyDescent="0.2">
      <c r="A715" s="54"/>
      <c r="B715" s="69" t="s">
        <v>137</v>
      </c>
      <c r="C715" s="52">
        <f>SUM(C716:C718)</f>
        <v>2150000</v>
      </c>
      <c r="D715" s="52">
        <f>SUM(D716:D718)</f>
        <v>850000</v>
      </c>
      <c r="E715" s="504"/>
      <c r="F715" s="127"/>
      <c r="G715" s="126"/>
      <c r="H715" s="126"/>
      <c r="I715" s="126"/>
      <c r="J715" s="14">
        <v>217170</v>
      </c>
    </row>
    <row r="716" spans="1:10" customFormat="1" ht="30" customHeight="1" x14ac:dyDescent="0.2">
      <c r="A716" s="54"/>
      <c r="B716" s="69" t="s">
        <v>136</v>
      </c>
      <c r="C716" s="10">
        <v>500000</v>
      </c>
      <c r="D716" s="10">
        <v>500000</v>
      </c>
      <c r="E716" s="127"/>
      <c r="F716" s="127"/>
      <c r="G716" s="126"/>
      <c r="H716" s="126"/>
      <c r="I716" s="126"/>
      <c r="J716" s="14">
        <v>217170</v>
      </c>
    </row>
    <row r="717" spans="1:10" customFormat="1" ht="30" customHeight="1" x14ac:dyDescent="0.2">
      <c r="A717" s="107"/>
      <c r="B717" s="69" t="s">
        <v>135</v>
      </c>
      <c r="C717" s="10">
        <v>900000</v>
      </c>
      <c r="D717" s="10">
        <f>900000-700000</f>
        <v>200000</v>
      </c>
      <c r="E717" s="127"/>
      <c r="F717" s="127"/>
      <c r="G717" s="126"/>
      <c r="H717" s="126"/>
      <c r="I717" s="126"/>
      <c r="J717" s="14">
        <v>0</v>
      </c>
    </row>
    <row r="718" spans="1:10" customFormat="1" ht="30" customHeight="1" x14ac:dyDescent="0.2">
      <c r="A718" s="54"/>
      <c r="B718" s="69" t="s">
        <v>134</v>
      </c>
      <c r="C718" s="10">
        <v>750000</v>
      </c>
      <c r="D718" s="10">
        <f>750000-600000</f>
        <v>150000</v>
      </c>
      <c r="E718" s="127"/>
      <c r="F718" s="127"/>
      <c r="G718" s="126"/>
      <c r="H718" s="126"/>
      <c r="I718" s="126"/>
      <c r="J718" s="14">
        <v>0</v>
      </c>
    </row>
    <row r="719" spans="1:10" s="106" customFormat="1" ht="30" customHeight="1" x14ac:dyDescent="0.2">
      <c r="A719" s="59">
        <v>3612</v>
      </c>
      <c r="B719" s="91" t="s">
        <v>133</v>
      </c>
      <c r="C719" s="63">
        <f>C720+C726</f>
        <v>129014000</v>
      </c>
      <c r="D719" s="63">
        <f>D720+D726</f>
        <v>128314460</v>
      </c>
      <c r="E719" s="122"/>
      <c r="F719" s="10"/>
      <c r="G719" s="120"/>
      <c r="H719" s="120"/>
      <c r="I719" s="120"/>
      <c r="J719" s="14">
        <v>18014460.699999999</v>
      </c>
    </row>
    <row r="720" spans="1:10" customFormat="1" ht="30" customHeight="1" x14ac:dyDescent="0.2">
      <c r="A720" s="59"/>
      <c r="B720" s="69" t="s">
        <v>132</v>
      </c>
      <c r="C720" s="64">
        <f>SUM(C721:C725)</f>
        <v>89954000</v>
      </c>
      <c r="D720" s="64">
        <f>SUM(D721:D725)</f>
        <v>87902460</v>
      </c>
      <c r="E720" s="127"/>
      <c r="F720" s="127"/>
      <c r="G720" s="126"/>
      <c r="H720" s="126"/>
      <c r="I720" s="126"/>
      <c r="J720" s="14">
        <v>106480</v>
      </c>
    </row>
    <row r="721" spans="1:10" customFormat="1" ht="30" customHeight="1" x14ac:dyDescent="0.2">
      <c r="A721" s="86"/>
      <c r="B721" s="78" t="s">
        <v>130</v>
      </c>
      <c r="C721" s="103">
        <v>14500000</v>
      </c>
      <c r="D721" s="103">
        <f>14500000-1900000</f>
        <v>12600000</v>
      </c>
      <c r="E721" s="127"/>
      <c r="F721" s="127"/>
      <c r="G721" s="126"/>
      <c r="H721" s="126"/>
      <c r="I721" s="126"/>
      <c r="J721" s="14">
        <v>0</v>
      </c>
    </row>
    <row r="722" spans="1:10" customFormat="1" ht="30" customHeight="1" x14ac:dyDescent="0.2">
      <c r="A722" s="86"/>
      <c r="B722" s="78" t="s">
        <v>129</v>
      </c>
      <c r="C722" s="100">
        <v>9500000</v>
      </c>
      <c r="D722" s="100">
        <f>9500000-1900000</f>
        <v>7600000</v>
      </c>
      <c r="E722" s="10"/>
      <c r="F722" s="10"/>
      <c r="G722" s="126"/>
      <c r="H722" s="126"/>
      <c r="I722" s="126"/>
      <c r="J722" s="506">
        <v>106480</v>
      </c>
    </row>
    <row r="723" spans="1:10" customFormat="1" ht="30" customHeight="1" x14ac:dyDescent="0.2">
      <c r="A723" s="86"/>
      <c r="B723" s="78" t="s">
        <v>969</v>
      </c>
      <c r="C723" s="103">
        <f>(654000+65000000)</f>
        <v>65654000</v>
      </c>
      <c r="D723" s="103">
        <f>(654000+65000000)+15000000-501540-1200000-12400000</f>
        <v>66552460</v>
      </c>
      <c r="E723" s="10"/>
      <c r="F723" s="10"/>
      <c r="G723" s="126"/>
      <c r="H723" s="126"/>
      <c r="I723" s="126"/>
      <c r="J723" s="14">
        <v>0</v>
      </c>
    </row>
    <row r="724" spans="1:10" s="73" customFormat="1" ht="30" customHeight="1" x14ac:dyDescent="0.2">
      <c r="A724" s="94"/>
      <c r="B724" s="102" t="s">
        <v>896</v>
      </c>
      <c r="C724" s="729">
        <v>300000</v>
      </c>
      <c r="D724" s="729">
        <v>300000</v>
      </c>
      <c r="E724" s="133"/>
      <c r="F724" s="133"/>
      <c r="G724" s="126"/>
      <c r="H724" s="126"/>
      <c r="I724" s="126"/>
      <c r="J724" s="14">
        <v>0</v>
      </c>
    </row>
    <row r="725" spans="1:10" s="73" customFormat="1" ht="30" customHeight="1" x14ac:dyDescent="0.2">
      <c r="A725" s="94"/>
      <c r="B725" s="102" t="s">
        <v>897</v>
      </c>
      <c r="C725" s="729">
        <v>0</v>
      </c>
      <c r="D725" s="729">
        <v>850000</v>
      </c>
      <c r="E725" s="133"/>
      <c r="F725" s="133"/>
      <c r="G725" s="126"/>
      <c r="H725" s="126"/>
      <c r="I725" s="126"/>
      <c r="J725" s="14">
        <v>0</v>
      </c>
    </row>
    <row r="726" spans="1:10" customFormat="1" ht="30" customHeight="1" x14ac:dyDescent="0.2">
      <c r="A726" s="59"/>
      <c r="B726" s="69" t="s">
        <v>127</v>
      </c>
      <c r="C726" s="9">
        <f>C727+C731+C736+C741+C743+SUM(C748:C753)</f>
        <v>39060000</v>
      </c>
      <c r="D726" s="9">
        <f>D727+D731+D736+D741+D743+SUM(D748:D753)</f>
        <v>40412000</v>
      </c>
      <c r="E726" s="127"/>
      <c r="F726" s="127"/>
      <c r="G726" s="126"/>
      <c r="H726" s="126"/>
      <c r="I726" s="126"/>
      <c r="J726" s="14">
        <v>17907980.699999999</v>
      </c>
    </row>
    <row r="727" spans="1:10" customFormat="1" ht="30" customHeight="1" x14ac:dyDescent="0.2">
      <c r="A727" s="59"/>
      <c r="B727" s="84" t="s">
        <v>126</v>
      </c>
      <c r="C727" s="554">
        <f>SUM(C728:C730)</f>
        <v>7250000</v>
      </c>
      <c r="D727" s="554">
        <f>SUM(D728:D730)</f>
        <v>10050000</v>
      </c>
      <c r="E727" s="505"/>
      <c r="F727" s="502"/>
      <c r="G727" s="500"/>
      <c r="H727" s="500"/>
      <c r="I727" s="500"/>
      <c r="J727" s="14">
        <v>3173548.26</v>
      </c>
    </row>
    <row r="728" spans="1:10" customFormat="1" ht="30" customHeight="1" x14ac:dyDescent="0.2">
      <c r="A728" s="54"/>
      <c r="B728" s="78" t="s">
        <v>125</v>
      </c>
      <c r="C728" s="10">
        <v>5750000</v>
      </c>
      <c r="D728" s="10">
        <f>5750000+(-1000000-2500000)+3500000+2400000</f>
        <v>8150000</v>
      </c>
      <c r="E728" s="127"/>
      <c r="F728" s="127"/>
      <c r="G728" s="126"/>
      <c r="H728" s="126"/>
      <c r="I728" s="126"/>
      <c r="J728" s="6">
        <v>2846502.06</v>
      </c>
    </row>
    <row r="729" spans="1:10" customFormat="1" ht="30" customHeight="1" x14ac:dyDescent="0.2">
      <c r="A729" s="54"/>
      <c r="B729" s="56" t="s">
        <v>124</v>
      </c>
      <c r="C729" s="10">
        <v>1500000</v>
      </c>
      <c r="D729" s="10">
        <f>1500000</f>
        <v>1500000</v>
      </c>
      <c r="E729" s="10"/>
      <c r="F729" s="10"/>
      <c r="G729" s="126"/>
      <c r="H729" s="126"/>
      <c r="I729" s="126"/>
      <c r="J729" s="14">
        <v>0</v>
      </c>
    </row>
    <row r="730" spans="1:10" customFormat="1" ht="30" customHeight="1" x14ac:dyDescent="0.2">
      <c r="A730" s="54"/>
      <c r="B730" s="56" t="s">
        <v>1009</v>
      </c>
      <c r="C730" s="10">
        <v>0</v>
      </c>
      <c r="D730" s="10">
        <v>400000</v>
      </c>
      <c r="E730" s="10"/>
      <c r="F730" s="10"/>
      <c r="G730" s="126"/>
      <c r="H730" s="126"/>
      <c r="I730" s="126"/>
      <c r="J730" s="14">
        <v>0</v>
      </c>
    </row>
    <row r="731" spans="1:10" customFormat="1" ht="30" customHeight="1" x14ac:dyDescent="0.2">
      <c r="A731" s="59"/>
      <c r="B731" s="56" t="s">
        <v>123</v>
      </c>
      <c r="C731" s="79">
        <f>C732+C733</f>
        <v>3300000</v>
      </c>
      <c r="D731" s="79">
        <f>D732+D733</f>
        <v>2400000</v>
      </c>
      <c r="E731" s="502"/>
      <c r="F731" s="502"/>
      <c r="G731" s="501"/>
      <c r="H731" s="126"/>
      <c r="I731" s="126"/>
      <c r="J731" s="14">
        <v>452593.4</v>
      </c>
    </row>
    <row r="732" spans="1:10" customFormat="1" ht="30" customHeight="1" x14ac:dyDescent="0.2">
      <c r="A732" s="54"/>
      <c r="B732" s="56" t="s">
        <v>118</v>
      </c>
      <c r="C732" s="10">
        <v>2000000</v>
      </c>
      <c r="D732" s="10">
        <v>2000000</v>
      </c>
      <c r="E732" s="127"/>
      <c r="F732" s="127"/>
      <c r="G732" s="126"/>
      <c r="H732" s="126"/>
      <c r="I732" s="126"/>
      <c r="J732" s="14">
        <f>424200+28393.4</f>
        <v>452593.4</v>
      </c>
    </row>
    <row r="733" spans="1:10" customFormat="1" ht="30" customHeight="1" x14ac:dyDescent="0.2">
      <c r="A733" s="54"/>
      <c r="B733" s="56" t="s">
        <v>122</v>
      </c>
      <c r="C733" s="52">
        <f>SUM(C734:C735)</f>
        <v>1300000</v>
      </c>
      <c r="D733" s="52">
        <f>SUM(D734:D735)</f>
        <v>400000</v>
      </c>
      <c r="E733" s="127"/>
      <c r="F733" s="127"/>
      <c r="G733" s="126"/>
      <c r="H733" s="126"/>
      <c r="I733" s="126"/>
      <c r="J733" s="14">
        <v>0</v>
      </c>
    </row>
    <row r="734" spans="1:10" s="73" customFormat="1" ht="30" customHeight="1" x14ac:dyDescent="0.2">
      <c r="A734" s="94"/>
      <c r="B734" s="61" t="s">
        <v>121</v>
      </c>
      <c r="C734" s="79">
        <v>300000</v>
      </c>
      <c r="D734" s="79">
        <v>300000</v>
      </c>
      <c r="E734" s="127"/>
      <c r="F734" s="127"/>
      <c r="G734" s="126"/>
      <c r="H734" s="126"/>
      <c r="I734" s="126"/>
      <c r="J734" s="14">
        <v>0</v>
      </c>
    </row>
    <row r="735" spans="1:10" s="73" customFormat="1" ht="30" customHeight="1" x14ac:dyDescent="0.2">
      <c r="A735" s="94"/>
      <c r="B735" s="61" t="s">
        <v>120</v>
      </c>
      <c r="C735" s="89">
        <v>1000000</v>
      </c>
      <c r="D735" s="89">
        <f>1000000-900000</f>
        <v>100000</v>
      </c>
      <c r="E735" s="127"/>
      <c r="F735" s="127"/>
      <c r="G735" s="126"/>
      <c r="H735" s="126"/>
      <c r="I735" s="126"/>
      <c r="J735" s="14">
        <v>0</v>
      </c>
    </row>
    <row r="736" spans="1:10" s="73" customFormat="1" ht="30" customHeight="1" x14ac:dyDescent="0.2">
      <c r="A736" s="54"/>
      <c r="B736" s="56" t="s">
        <v>119</v>
      </c>
      <c r="C736" s="79">
        <f>C737+C738</f>
        <v>3100000</v>
      </c>
      <c r="D736" s="79">
        <f>D737+D738</f>
        <v>3100000</v>
      </c>
      <c r="E736" s="502"/>
      <c r="F736" s="502"/>
      <c r="G736" s="501"/>
      <c r="H736" s="501"/>
      <c r="I736" s="126"/>
      <c r="J736" s="14">
        <v>2339274.96</v>
      </c>
    </row>
    <row r="737" spans="1:10" customFormat="1" ht="30" customHeight="1" x14ac:dyDescent="0.2">
      <c r="A737" s="529"/>
      <c r="B737" s="69" t="s">
        <v>118</v>
      </c>
      <c r="C737" s="10">
        <v>2500000</v>
      </c>
      <c r="D737" s="10">
        <v>2500000</v>
      </c>
      <c r="E737" s="127"/>
      <c r="F737" s="127"/>
      <c r="G737" s="126"/>
      <c r="H737" s="126"/>
      <c r="I737" s="126"/>
      <c r="J737" s="14">
        <v>1251976.44</v>
      </c>
    </row>
    <row r="738" spans="1:10" customFormat="1" ht="30" customHeight="1" x14ac:dyDescent="0.2">
      <c r="A738" s="54"/>
      <c r="B738" s="69" t="s">
        <v>117</v>
      </c>
      <c r="C738" s="52">
        <f>SUM(C739:C740)</f>
        <v>600000</v>
      </c>
      <c r="D738" s="52">
        <f>SUM(D739:D740)</f>
        <v>600000</v>
      </c>
      <c r="E738" s="130"/>
      <c r="F738" s="130"/>
      <c r="G738" s="126"/>
      <c r="H738" s="126"/>
      <c r="I738" s="126"/>
      <c r="J738" s="14">
        <v>1087298.52</v>
      </c>
    </row>
    <row r="739" spans="1:10" s="73" customFormat="1" ht="30" customHeight="1" x14ac:dyDescent="0.2">
      <c r="A739" s="94"/>
      <c r="B739" s="78" t="s">
        <v>116</v>
      </c>
      <c r="C739" s="52">
        <v>300000</v>
      </c>
      <c r="D739" s="52">
        <v>300000</v>
      </c>
      <c r="E739" s="130"/>
      <c r="F739" s="10"/>
      <c r="G739" s="126"/>
      <c r="H739" s="126"/>
      <c r="I739" s="126"/>
      <c r="J739" s="14">
        <v>0</v>
      </c>
    </row>
    <row r="740" spans="1:10" s="73" customFormat="1" ht="30" customHeight="1" x14ac:dyDescent="0.2">
      <c r="A740" s="94"/>
      <c r="B740" s="97" t="s">
        <v>115</v>
      </c>
      <c r="C740" s="64">
        <v>300000</v>
      </c>
      <c r="D740" s="64">
        <v>300000</v>
      </c>
      <c r="E740" s="130"/>
      <c r="F740" s="130"/>
      <c r="G740" s="126"/>
      <c r="H740" s="126"/>
      <c r="I740" s="126"/>
      <c r="J740" s="14">
        <v>0</v>
      </c>
    </row>
    <row r="741" spans="1:10" s="73" customFormat="1" ht="30" customHeight="1" x14ac:dyDescent="0.2">
      <c r="A741" s="54"/>
      <c r="B741" s="69" t="s">
        <v>114</v>
      </c>
      <c r="C741" s="95">
        <v>0</v>
      </c>
      <c r="D741" s="95">
        <v>0</v>
      </c>
      <c r="E741" s="499"/>
      <c r="F741" s="499"/>
      <c r="G741" s="501"/>
      <c r="H741" s="501"/>
      <c r="I741" s="126"/>
      <c r="J741" s="14">
        <v>0</v>
      </c>
    </row>
    <row r="742" spans="1:10" customFormat="1" ht="30" customHeight="1" x14ac:dyDescent="0.2">
      <c r="A742" s="54"/>
      <c r="B742" s="69" t="s">
        <v>113</v>
      </c>
      <c r="C742" s="9">
        <v>0</v>
      </c>
      <c r="D742" s="9">
        <v>0</v>
      </c>
      <c r="E742" s="130"/>
      <c r="F742" s="130"/>
      <c r="G742" s="126"/>
      <c r="H742" s="126"/>
      <c r="I742" s="126"/>
      <c r="J742" s="14">
        <v>0</v>
      </c>
    </row>
    <row r="743" spans="1:10" customFormat="1" ht="30" customHeight="1" x14ac:dyDescent="0.2">
      <c r="A743" s="54"/>
      <c r="B743" s="56" t="s">
        <v>112</v>
      </c>
      <c r="C743" s="82">
        <f>C744+C745</f>
        <v>2500000</v>
      </c>
      <c r="D743" s="82">
        <f>D744+D745</f>
        <v>2000000</v>
      </c>
      <c r="E743" s="499"/>
      <c r="F743" s="499"/>
      <c r="G743" s="501"/>
      <c r="H743" s="501"/>
      <c r="I743" s="501"/>
      <c r="J743" s="14">
        <v>1248219.33</v>
      </c>
    </row>
    <row r="744" spans="1:10" customFormat="1" ht="30" customHeight="1" x14ac:dyDescent="0.2">
      <c r="A744" s="54"/>
      <c r="B744" s="69" t="s">
        <v>111</v>
      </c>
      <c r="C744" s="9">
        <v>1500000</v>
      </c>
      <c r="D744" s="9">
        <v>1500000</v>
      </c>
      <c r="E744" s="130"/>
      <c r="F744" s="130"/>
      <c r="G744" s="126"/>
      <c r="H744" s="126"/>
      <c r="I744" s="126"/>
      <c r="J744" s="14">
        <v>620775.4</v>
      </c>
    </row>
    <row r="745" spans="1:10" customFormat="1" ht="30" customHeight="1" x14ac:dyDescent="0.2">
      <c r="A745" s="54"/>
      <c r="B745" s="85" t="s">
        <v>110</v>
      </c>
      <c r="C745" s="64">
        <f>SUM(C746:C747)</f>
        <v>1000000</v>
      </c>
      <c r="D745" s="64">
        <f>SUM(D746:D747)</f>
        <v>500000</v>
      </c>
      <c r="E745" s="130"/>
      <c r="F745" s="130"/>
      <c r="G745" s="126"/>
      <c r="H745" s="126"/>
      <c r="I745" s="126"/>
      <c r="J745" s="14">
        <v>627443.93000000005</v>
      </c>
    </row>
    <row r="746" spans="1:10" s="73" customFormat="1" ht="30" customHeight="1" x14ac:dyDescent="0.2">
      <c r="A746" s="94"/>
      <c r="B746" s="77" t="s">
        <v>109</v>
      </c>
      <c r="C746" s="9">
        <v>500000</v>
      </c>
      <c r="D746" s="9">
        <f>500000-500000</f>
        <v>0</v>
      </c>
      <c r="E746" s="130"/>
      <c r="F746" s="130"/>
      <c r="G746" s="126"/>
      <c r="H746" s="126"/>
      <c r="I746" s="126"/>
      <c r="J746" s="14">
        <v>0</v>
      </c>
    </row>
    <row r="747" spans="1:10" s="73" customFormat="1" ht="30" customHeight="1" x14ac:dyDescent="0.2">
      <c r="A747" s="94"/>
      <c r="B747" s="93" t="s">
        <v>108</v>
      </c>
      <c r="C747" s="10">
        <v>500000</v>
      </c>
      <c r="D747" s="10">
        <v>500000</v>
      </c>
      <c r="E747" s="130"/>
      <c r="F747" s="130"/>
      <c r="G747" s="126"/>
      <c r="H747" s="126"/>
      <c r="I747" s="126"/>
      <c r="J747" s="14">
        <v>0</v>
      </c>
    </row>
    <row r="748" spans="1:10" s="73" customFormat="1" ht="30" customHeight="1" x14ac:dyDescent="0.2">
      <c r="A748" s="54"/>
      <c r="B748" s="69" t="s">
        <v>107</v>
      </c>
      <c r="C748" s="9">
        <v>260000</v>
      </c>
      <c r="D748" s="9">
        <v>260000</v>
      </c>
      <c r="E748" s="127"/>
      <c r="F748" s="127"/>
      <c r="G748" s="126"/>
      <c r="H748" s="126"/>
      <c r="I748" s="126"/>
      <c r="J748" s="129">
        <v>98025</v>
      </c>
    </row>
    <row r="749" spans="1:10" customFormat="1" ht="30" customHeight="1" x14ac:dyDescent="0.2">
      <c r="A749" s="54"/>
      <c r="B749" s="78" t="s">
        <v>1047</v>
      </c>
      <c r="C749" s="9">
        <v>2500000</v>
      </c>
      <c r="D749" s="9">
        <f>2500000+2000-20000</f>
        <v>2482000</v>
      </c>
      <c r="E749" s="130"/>
      <c r="F749" s="130"/>
      <c r="G749" s="126"/>
      <c r="H749" s="126"/>
      <c r="I749" s="126"/>
      <c r="J749" s="14">
        <v>939665.66</v>
      </c>
    </row>
    <row r="750" spans="1:10" customFormat="1" ht="30" customHeight="1" x14ac:dyDescent="0.2">
      <c r="A750" s="54"/>
      <c r="B750" s="78" t="s">
        <v>105</v>
      </c>
      <c r="C750" s="9">
        <v>100000</v>
      </c>
      <c r="D750" s="9">
        <v>100000</v>
      </c>
      <c r="E750" s="117"/>
      <c r="F750" s="11"/>
      <c r="G750" s="126"/>
      <c r="H750" s="126"/>
      <c r="I750" s="126"/>
      <c r="J750" s="14">
        <v>40548</v>
      </c>
    </row>
    <row r="751" spans="1:10" customFormat="1" ht="30" customHeight="1" x14ac:dyDescent="0.2">
      <c r="A751" s="54"/>
      <c r="B751" s="78" t="s">
        <v>104</v>
      </c>
      <c r="C751" s="9">
        <v>20000000</v>
      </c>
      <c r="D751" s="9">
        <f>20000000+20000</f>
        <v>20020000</v>
      </c>
      <c r="E751" s="117"/>
      <c r="F751" s="117"/>
      <c r="G751" s="126"/>
      <c r="H751" s="126"/>
      <c r="I751" s="126"/>
      <c r="J751" s="14">
        <v>9616105.3900000006</v>
      </c>
    </row>
    <row r="752" spans="1:10" customFormat="1" ht="30" customHeight="1" x14ac:dyDescent="0.2">
      <c r="A752" s="92"/>
      <c r="B752" s="85" t="s">
        <v>103</v>
      </c>
      <c r="C752" s="9">
        <v>50000</v>
      </c>
      <c r="D752" s="9">
        <f>50000-50000</f>
        <v>0</v>
      </c>
      <c r="E752" s="130"/>
      <c r="F752" s="130"/>
      <c r="G752" s="126"/>
      <c r="H752" s="126"/>
      <c r="I752" s="126"/>
      <c r="J752" s="6">
        <v>0</v>
      </c>
    </row>
    <row r="753" spans="1:10" customFormat="1" ht="30" customHeight="1" x14ac:dyDescent="0.2">
      <c r="A753" s="92"/>
      <c r="B753" s="85" t="s">
        <v>975</v>
      </c>
      <c r="C753" s="9">
        <v>0</v>
      </c>
      <c r="D753" s="9">
        <v>0</v>
      </c>
      <c r="E753" s="130"/>
      <c r="F753" s="130"/>
      <c r="G753" s="126"/>
      <c r="H753" s="126"/>
      <c r="I753" s="126"/>
      <c r="J753" s="6">
        <v>0</v>
      </c>
    </row>
    <row r="754" spans="1:10" customFormat="1" ht="30" customHeight="1" x14ac:dyDescent="0.2">
      <c r="A754" s="71">
        <v>3613</v>
      </c>
      <c r="B754" s="91" t="s">
        <v>102</v>
      </c>
      <c r="C754" s="24">
        <f>C755+C764+C765+C766+C771+C783+C782</f>
        <v>25001000</v>
      </c>
      <c r="D754" s="24">
        <f>D755+D764+D765+D766+D771+D783+D782</f>
        <v>28948010.030000001</v>
      </c>
      <c r="E754" s="121"/>
      <c r="F754" s="10"/>
      <c r="G754" s="120"/>
      <c r="H754" s="120"/>
      <c r="I754" s="120"/>
      <c r="J754" s="6">
        <v>8472708.8699999992</v>
      </c>
    </row>
    <row r="755" spans="1:10" customFormat="1" ht="30" customHeight="1" x14ac:dyDescent="0.2">
      <c r="A755" s="76"/>
      <c r="B755" s="69" t="s">
        <v>101</v>
      </c>
      <c r="C755" s="52">
        <f>SUM(C756:C763)</f>
        <v>6843000</v>
      </c>
      <c r="D755" s="52">
        <f>SUM(D756:D763)</f>
        <v>10750000</v>
      </c>
      <c r="E755" s="130"/>
      <c r="F755" s="130"/>
      <c r="G755" s="126"/>
      <c r="H755" s="126"/>
      <c r="I755" s="126"/>
      <c r="J755" s="6">
        <v>3480016.22</v>
      </c>
    </row>
    <row r="756" spans="1:10" customFormat="1" ht="30" customHeight="1" x14ac:dyDescent="0.2">
      <c r="A756" s="59"/>
      <c r="B756" s="78" t="s">
        <v>100</v>
      </c>
      <c r="C756" s="89">
        <v>750000</v>
      </c>
      <c r="D756" s="89">
        <v>750000</v>
      </c>
      <c r="E756" s="133"/>
      <c r="F756" s="127"/>
      <c r="G756" s="126"/>
      <c r="H756" s="126"/>
      <c r="I756" s="126"/>
      <c r="J756" s="14">
        <v>0</v>
      </c>
    </row>
    <row r="757" spans="1:10" customFormat="1" ht="30" customHeight="1" x14ac:dyDescent="0.2">
      <c r="A757" s="59"/>
      <c r="B757" s="88" t="s">
        <v>99</v>
      </c>
      <c r="C757" s="64">
        <v>500000</v>
      </c>
      <c r="D757" s="64">
        <v>500000</v>
      </c>
      <c r="E757" s="127"/>
      <c r="F757" s="127"/>
      <c r="G757" s="126"/>
      <c r="H757" s="126"/>
      <c r="I757" s="126"/>
      <c r="J757" s="6">
        <v>0</v>
      </c>
    </row>
    <row r="758" spans="1:10" customFormat="1" ht="30" customHeight="1" x14ac:dyDescent="0.2">
      <c r="A758" s="59"/>
      <c r="B758" s="67" t="s">
        <v>98</v>
      </c>
      <c r="C758" s="64">
        <v>100000</v>
      </c>
      <c r="D758" s="64">
        <v>100000</v>
      </c>
      <c r="E758" s="127"/>
      <c r="F758" s="127"/>
      <c r="G758" s="126"/>
      <c r="H758" s="126"/>
      <c r="I758" s="126"/>
      <c r="J758" s="6">
        <v>0</v>
      </c>
    </row>
    <row r="759" spans="1:10" customFormat="1" ht="30" customHeight="1" x14ac:dyDescent="0.2">
      <c r="A759" s="71"/>
      <c r="B759" s="67" t="s">
        <v>893</v>
      </c>
      <c r="C759" s="9">
        <v>393000</v>
      </c>
      <c r="D759" s="9">
        <f>393000-100000-393000+100000</f>
        <v>0</v>
      </c>
      <c r="E759" s="127"/>
      <c r="F759" s="127"/>
      <c r="G759" s="126"/>
      <c r="H759" s="126"/>
      <c r="I759" s="126"/>
      <c r="J759" s="14">
        <v>0</v>
      </c>
    </row>
    <row r="760" spans="1:10" customFormat="1" ht="30" customHeight="1" x14ac:dyDescent="0.2">
      <c r="A760" s="71"/>
      <c r="B760" s="69" t="s">
        <v>97</v>
      </c>
      <c r="C760" s="9">
        <v>2300000</v>
      </c>
      <c r="D760" s="9">
        <f>2300000-2300000</f>
        <v>0</v>
      </c>
      <c r="E760" s="127"/>
      <c r="F760" s="127"/>
      <c r="G760" s="126"/>
      <c r="H760" s="126"/>
      <c r="I760" s="126"/>
      <c r="J760" s="6">
        <v>0</v>
      </c>
    </row>
    <row r="761" spans="1:10" customFormat="1" ht="30" customHeight="1" x14ac:dyDescent="0.2">
      <c r="A761" s="71"/>
      <c r="B761" s="88" t="s">
        <v>96</v>
      </c>
      <c r="C761" s="9">
        <v>100000</v>
      </c>
      <c r="D761" s="9">
        <v>100000</v>
      </c>
      <c r="E761" s="152"/>
      <c r="F761" s="152"/>
      <c r="G761" s="126"/>
      <c r="H761" s="126"/>
      <c r="I761" s="126"/>
      <c r="J761" s="6">
        <v>0</v>
      </c>
    </row>
    <row r="762" spans="1:10" customFormat="1" ht="30" customHeight="1" x14ac:dyDescent="0.2">
      <c r="A762" s="71"/>
      <c r="B762" s="69" t="s">
        <v>911</v>
      </c>
      <c r="C762" s="10">
        <v>2000000</v>
      </c>
      <c r="D762" s="10">
        <f>2000000+(6000000+3200000-2000000)</f>
        <v>9200000</v>
      </c>
      <c r="E762" s="127"/>
      <c r="F762" s="127"/>
      <c r="G762" s="126"/>
      <c r="H762" s="130"/>
      <c r="I762" s="130"/>
      <c r="J762" s="6">
        <v>0</v>
      </c>
    </row>
    <row r="763" spans="1:10" customFormat="1" ht="30" customHeight="1" x14ac:dyDescent="0.2">
      <c r="A763" s="71"/>
      <c r="B763" s="69" t="s">
        <v>95</v>
      </c>
      <c r="C763" s="9">
        <v>700000</v>
      </c>
      <c r="D763" s="9">
        <f>700000-600000</f>
        <v>100000</v>
      </c>
      <c r="E763" s="133"/>
      <c r="F763" s="133"/>
      <c r="G763" s="126"/>
      <c r="H763" s="130"/>
      <c r="I763" s="130"/>
      <c r="J763" s="14">
        <v>0</v>
      </c>
    </row>
    <row r="764" spans="1:10" customFormat="1" ht="30" customHeight="1" x14ac:dyDescent="0.2">
      <c r="A764" s="76"/>
      <c r="B764" s="87" t="s">
        <v>94</v>
      </c>
      <c r="C764" s="9">
        <v>30000</v>
      </c>
      <c r="D764" s="9">
        <v>30000</v>
      </c>
      <c r="E764" s="152"/>
      <c r="F764" s="152"/>
      <c r="G764" s="126"/>
      <c r="H764" s="130"/>
      <c r="I764" s="130"/>
      <c r="J764" s="14">
        <v>0</v>
      </c>
    </row>
    <row r="765" spans="1:10" customFormat="1" ht="30" customHeight="1" x14ac:dyDescent="0.2">
      <c r="A765" s="76"/>
      <c r="B765" s="87" t="s">
        <v>93</v>
      </c>
      <c r="C765" s="9">
        <v>50000</v>
      </c>
      <c r="D765" s="9">
        <f>50000+20000</f>
        <v>70000</v>
      </c>
      <c r="E765" s="206"/>
      <c r="F765" s="206"/>
      <c r="G765" s="126"/>
      <c r="H765" s="130"/>
      <c r="I765" s="130"/>
      <c r="J765" s="14">
        <v>0</v>
      </c>
    </row>
    <row r="766" spans="1:10" customFormat="1" ht="30" customHeight="1" x14ac:dyDescent="0.2">
      <c r="A766" s="76"/>
      <c r="B766" s="87" t="s">
        <v>92</v>
      </c>
      <c r="C766" s="9">
        <f>SUM(C767:C770)</f>
        <v>5100000</v>
      </c>
      <c r="D766" s="9">
        <f>SUM(D767:D770)</f>
        <v>5150000</v>
      </c>
      <c r="E766" s="507"/>
      <c r="F766" s="507"/>
      <c r="G766" s="126"/>
      <c r="H766" s="130"/>
      <c r="I766" s="130"/>
      <c r="J766" s="6">
        <v>2054626.35</v>
      </c>
    </row>
    <row r="767" spans="1:10" customFormat="1" ht="30" customHeight="1" x14ac:dyDescent="0.2">
      <c r="A767" s="59"/>
      <c r="B767" s="85" t="s">
        <v>91</v>
      </c>
      <c r="C767" s="52">
        <v>800000</v>
      </c>
      <c r="D767" s="52">
        <f>800000+50000</f>
        <v>850000</v>
      </c>
      <c r="E767" s="126"/>
      <c r="F767" s="126"/>
      <c r="G767" s="126"/>
      <c r="H767" s="130"/>
      <c r="I767" s="130"/>
      <c r="J767" s="6">
        <v>281616.90000000002</v>
      </c>
    </row>
    <row r="768" spans="1:10" customFormat="1" ht="30" customHeight="1" x14ac:dyDescent="0.2">
      <c r="A768" s="59"/>
      <c r="B768" s="85" t="s">
        <v>90</v>
      </c>
      <c r="C768" s="52">
        <v>1500000</v>
      </c>
      <c r="D768" s="52">
        <v>1500000</v>
      </c>
      <c r="E768" s="130"/>
      <c r="F768" s="130"/>
      <c r="G768" s="126"/>
      <c r="H768" s="130"/>
      <c r="I768" s="130"/>
      <c r="J768" s="14">
        <v>613991.76</v>
      </c>
    </row>
    <row r="769" spans="1:10" customFormat="1" ht="30" customHeight="1" x14ac:dyDescent="0.2">
      <c r="A769" s="59"/>
      <c r="B769" s="85" t="s">
        <v>89</v>
      </c>
      <c r="C769" s="52">
        <v>1100000</v>
      </c>
      <c r="D769" s="52">
        <v>1100000</v>
      </c>
      <c r="E769" s="130"/>
      <c r="F769" s="130"/>
      <c r="G769" s="126"/>
      <c r="H769" s="130"/>
      <c r="I769" s="130"/>
      <c r="J769" s="14">
        <v>409046.79</v>
      </c>
    </row>
    <row r="770" spans="1:10" customFormat="1" ht="30" customHeight="1" x14ac:dyDescent="0.2">
      <c r="A770" s="59"/>
      <c r="B770" s="85" t="s">
        <v>88</v>
      </c>
      <c r="C770" s="10">
        <v>1700000</v>
      </c>
      <c r="D770" s="10">
        <v>1700000</v>
      </c>
      <c r="E770" s="130"/>
      <c r="F770" s="130"/>
      <c r="G770" s="126"/>
      <c r="H770" s="130"/>
      <c r="I770" s="130"/>
      <c r="J770" s="14">
        <v>749970.9</v>
      </c>
    </row>
    <row r="771" spans="1:10" customFormat="1" ht="30" customHeight="1" x14ac:dyDescent="0.2">
      <c r="A771" s="76"/>
      <c r="B771" s="87" t="s">
        <v>87</v>
      </c>
      <c r="C771" s="10">
        <f>SUM(C772:C781)</f>
        <v>4250000</v>
      </c>
      <c r="D771" s="10">
        <f>SUM(D772:D781)</f>
        <v>4085700</v>
      </c>
      <c r="E771" s="130"/>
      <c r="F771" s="130"/>
      <c r="G771" s="126"/>
      <c r="H771" s="130"/>
      <c r="I771" s="130"/>
      <c r="J771" s="14">
        <v>1657317.07</v>
      </c>
    </row>
    <row r="772" spans="1:10" customFormat="1" ht="30" customHeight="1" x14ac:dyDescent="0.2">
      <c r="A772" s="59"/>
      <c r="B772" s="69" t="s">
        <v>86</v>
      </c>
      <c r="C772" s="10">
        <v>200000</v>
      </c>
      <c r="D772" s="10">
        <v>200000</v>
      </c>
      <c r="E772" s="130"/>
      <c r="F772" s="130"/>
      <c r="G772" s="126"/>
      <c r="H772" s="130"/>
      <c r="I772" s="130"/>
      <c r="J772" s="14">
        <v>0</v>
      </c>
    </row>
    <row r="773" spans="1:10" customFormat="1" ht="30" customHeight="1" x14ac:dyDescent="0.2">
      <c r="A773" s="59"/>
      <c r="B773" s="69" t="s">
        <v>85</v>
      </c>
      <c r="C773" s="10">
        <v>50000</v>
      </c>
      <c r="D773" s="10">
        <v>50000</v>
      </c>
      <c r="E773" s="130"/>
      <c r="F773" s="130"/>
      <c r="G773" s="126"/>
      <c r="H773" s="130"/>
      <c r="I773" s="130"/>
      <c r="J773" s="6">
        <v>0</v>
      </c>
    </row>
    <row r="774" spans="1:10" customFormat="1" ht="30" customHeight="1" x14ac:dyDescent="0.2">
      <c r="A774" s="59"/>
      <c r="B774" s="85" t="s">
        <v>84</v>
      </c>
      <c r="C774" s="10">
        <v>1300000</v>
      </c>
      <c r="D774" s="10">
        <f>1300000-70000+15000</f>
        <v>1245000</v>
      </c>
      <c r="E774" s="130"/>
      <c r="F774" s="130"/>
      <c r="G774" s="126"/>
      <c r="H774" s="130"/>
      <c r="I774" s="130"/>
      <c r="J774" s="14">
        <v>672913.96</v>
      </c>
    </row>
    <row r="775" spans="1:10" customFormat="1" ht="30" customHeight="1" x14ac:dyDescent="0.2">
      <c r="A775" s="59"/>
      <c r="B775" s="56" t="s">
        <v>976</v>
      </c>
      <c r="C775" s="10">
        <v>100000</v>
      </c>
      <c r="D775" s="10">
        <v>100000</v>
      </c>
      <c r="E775" s="126"/>
      <c r="F775" s="126"/>
      <c r="G775" s="126"/>
      <c r="H775" s="130"/>
      <c r="I775" s="130"/>
      <c r="J775" s="14">
        <v>0</v>
      </c>
    </row>
    <row r="776" spans="1:10" customFormat="1" ht="30" customHeight="1" x14ac:dyDescent="0.2">
      <c r="A776" s="59"/>
      <c r="B776" s="67" t="s">
        <v>82</v>
      </c>
      <c r="C776" s="10">
        <v>250000</v>
      </c>
      <c r="D776" s="10">
        <v>250000</v>
      </c>
      <c r="E776" s="126"/>
      <c r="F776" s="126"/>
      <c r="G776" s="126"/>
      <c r="H776" s="130"/>
      <c r="I776" s="130"/>
      <c r="J776" s="14">
        <v>0</v>
      </c>
    </row>
    <row r="777" spans="1:10" customFormat="1" ht="30" customHeight="1" x14ac:dyDescent="0.2">
      <c r="A777" s="59"/>
      <c r="B777" s="69" t="s">
        <v>81</v>
      </c>
      <c r="C777" s="10">
        <v>700000</v>
      </c>
      <c r="D777" s="10">
        <v>700000</v>
      </c>
      <c r="E777" s="130"/>
      <c r="F777" s="130"/>
      <c r="G777" s="126"/>
      <c r="H777" s="130"/>
      <c r="I777" s="130"/>
      <c r="J777" s="14">
        <v>216186</v>
      </c>
    </row>
    <row r="778" spans="1:10" customFormat="1" ht="30" customHeight="1" x14ac:dyDescent="0.2">
      <c r="A778" s="59"/>
      <c r="B778" s="67" t="s">
        <v>80</v>
      </c>
      <c r="C778" s="10">
        <v>1550000</v>
      </c>
      <c r="D778" s="10">
        <f>1550000+10700-70000</f>
        <v>1490700</v>
      </c>
      <c r="E778" s="130"/>
      <c r="F778" s="130"/>
      <c r="G778" s="126"/>
      <c r="H778" s="130"/>
      <c r="I778" s="130"/>
      <c r="J778" s="14">
        <v>735000</v>
      </c>
    </row>
    <row r="779" spans="1:10" customFormat="1" ht="30" customHeight="1" x14ac:dyDescent="0.2">
      <c r="A779" s="86"/>
      <c r="B779" s="85" t="s">
        <v>79</v>
      </c>
      <c r="C779" s="10">
        <v>50000</v>
      </c>
      <c r="D779" s="10">
        <f>50000-50000</f>
        <v>0</v>
      </c>
      <c r="E779" s="130"/>
      <c r="F779" s="130"/>
      <c r="G779" s="126"/>
      <c r="H779" s="130"/>
      <c r="I779" s="130"/>
      <c r="J779" s="14">
        <v>0</v>
      </c>
    </row>
    <row r="780" spans="1:10" customFormat="1" ht="30" customHeight="1" x14ac:dyDescent="0.2">
      <c r="A780" s="76"/>
      <c r="B780" s="69" t="s">
        <v>78</v>
      </c>
      <c r="C780" s="10">
        <v>15000</v>
      </c>
      <c r="D780" s="10">
        <v>15000</v>
      </c>
      <c r="E780" s="130"/>
      <c r="F780" s="130"/>
      <c r="G780" s="126"/>
      <c r="H780" s="130"/>
      <c r="I780" s="130"/>
      <c r="J780" s="14">
        <v>7260</v>
      </c>
    </row>
    <row r="781" spans="1:10" customFormat="1" ht="30" customHeight="1" x14ac:dyDescent="0.2">
      <c r="A781" s="76"/>
      <c r="B781" s="78" t="s">
        <v>77</v>
      </c>
      <c r="C781" s="10">
        <v>35000</v>
      </c>
      <c r="D781" s="10">
        <v>35000</v>
      </c>
      <c r="E781" s="130"/>
      <c r="F781" s="130"/>
      <c r="G781" s="126"/>
      <c r="H781" s="130"/>
      <c r="I781" s="130"/>
      <c r="J781" s="14">
        <v>0</v>
      </c>
    </row>
    <row r="782" spans="1:10" customFormat="1" ht="30" customHeight="1" x14ac:dyDescent="0.2">
      <c r="A782" s="76"/>
      <c r="B782" s="67" t="s">
        <v>970</v>
      </c>
      <c r="C782" s="10">
        <v>486000</v>
      </c>
      <c r="D782" s="10">
        <f>486000+48594.03-386000-100000</f>
        <v>48594.030000000028</v>
      </c>
      <c r="E782" s="130"/>
      <c r="F782" s="130"/>
      <c r="G782" s="126"/>
      <c r="H782" s="130"/>
      <c r="I782" s="130"/>
      <c r="J782" s="14">
        <v>0</v>
      </c>
    </row>
    <row r="783" spans="1:10" customFormat="1" ht="30" customHeight="1" x14ac:dyDescent="0.2">
      <c r="A783" s="76"/>
      <c r="B783" s="69" t="s">
        <v>76</v>
      </c>
      <c r="C783" s="10">
        <f>C784+C791+C801</f>
        <v>8242000</v>
      </c>
      <c r="D783" s="10">
        <f>D784+D791+D801</f>
        <v>8813716</v>
      </c>
      <c r="E783" s="130"/>
      <c r="F783" s="10"/>
      <c r="G783" s="126"/>
      <c r="H783" s="130"/>
      <c r="I783" s="130"/>
      <c r="J783" s="14">
        <v>1273489.23</v>
      </c>
    </row>
    <row r="784" spans="1:10" customFormat="1" ht="30" customHeight="1" x14ac:dyDescent="0.2">
      <c r="A784" s="59"/>
      <c r="B784" s="84" t="s">
        <v>75</v>
      </c>
      <c r="C784" s="83">
        <f>C785+C786</f>
        <v>4742000</v>
      </c>
      <c r="D784" s="83">
        <f>D785+D786</f>
        <v>4613716</v>
      </c>
      <c r="E784" s="499"/>
      <c r="F784" s="499"/>
      <c r="G784" s="501"/>
      <c r="H784" s="130"/>
      <c r="I784" s="499"/>
      <c r="J784" s="14">
        <v>1069492.05</v>
      </c>
    </row>
    <row r="785" spans="1:10" customFormat="1" ht="30" customHeight="1" x14ac:dyDescent="0.2">
      <c r="A785" s="59"/>
      <c r="B785" s="69" t="s">
        <v>74</v>
      </c>
      <c r="C785" s="10">
        <v>1500000</v>
      </c>
      <c r="D785" s="10">
        <f>1500000+250000+11221+10495</f>
        <v>1771716</v>
      </c>
      <c r="E785" s="130"/>
      <c r="F785" s="130"/>
      <c r="G785" s="126"/>
      <c r="H785" s="130"/>
      <c r="I785" s="130"/>
      <c r="J785" s="14">
        <v>1069492.05</v>
      </c>
    </row>
    <row r="786" spans="1:10" customFormat="1" ht="30" customHeight="1" x14ac:dyDescent="0.2">
      <c r="A786" s="59"/>
      <c r="B786" s="69" t="s">
        <v>73</v>
      </c>
      <c r="C786" s="10">
        <f xml:space="preserve"> SUM(C787:C790)</f>
        <v>3242000</v>
      </c>
      <c r="D786" s="10">
        <f xml:space="preserve"> SUM(D787:D790)</f>
        <v>2842000</v>
      </c>
      <c r="E786" s="130"/>
      <c r="F786" s="130"/>
      <c r="G786" s="126"/>
      <c r="H786" s="130"/>
      <c r="I786" s="130"/>
      <c r="J786" s="14">
        <v>0</v>
      </c>
    </row>
    <row r="787" spans="1:10" s="73" customFormat="1" ht="30" customHeight="1" x14ac:dyDescent="0.2">
      <c r="A787" s="76"/>
      <c r="B787" s="77" t="s">
        <v>72</v>
      </c>
      <c r="C787" s="10">
        <v>2192000</v>
      </c>
      <c r="D787" s="10">
        <v>2192000</v>
      </c>
      <c r="E787" s="127"/>
      <c r="F787" s="127"/>
      <c r="G787" s="126"/>
      <c r="H787" s="130"/>
      <c r="I787" s="130"/>
      <c r="J787" s="14">
        <v>0</v>
      </c>
    </row>
    <row r="788" spans="1:10" s="73" customFormat="1" ht="30" customHeight="1" x14ac:dyDescent="0.2">
      <c r="A788" s="76"/>
      <c r="B788" s="81" t="s">
        <v>71</v>
      </c>
      <c r="C788" s="80">
        <v>600000</v>
      </c>
      <c r="D788" s="80">
        <f>600000-400000</f>
        <v>200000</v>
      </c>
      <c r="E788" s="718"/>
      <c r="F788" s="531"/>
      <c r="G788" s="126"/>
      <c r="H788" s="130"/>
      <c r="I788" s="130"/>
      <c r="J788" s="6">
        <v>0</v>
      </c>
    </row>
    <row r="789" spans="1:10" s="73" customFormat="1" ht="30" customHeight="1" x14ac:dyDescent="0.2">
      <c r="A789" s="76"/>
      <c r="B789" s="81" t="s">
        <v>70</v>
      </c>
      <c r="C789" s="80">
        <v>200000</v>
      </c>
      <c r="D789" s="80">
        <v>200000</v>
      </c>
      <c r="E789" s="719"/>
      <c r="F789" s="496"/>
      <c r="G789" s="126"/>
      <c r="H789" s="130"/>
      <c r="I789" s="130"/>
      <c r="J789" s="14">
        <v>0</v>
      </c>
    </row>
    <row r="790" spans="1:10" s="73" customFormat="1" ht="30" customHeight="1" x14ac:dyDescent="0.2">
      <c r="A790" s="76"/>
      <c r="B790" s="81" t="s">
        <v>69</v>
      </c>
      <c r="C790" s="80">
        <v>250000</v>
      </c>
      <c r="D790" s="80">
        <v>250000</v>
      </c>
      <c r="E790" s="719"/>
      <c r="F790" s="496"/>
      <c r="G790" s="126"/>
      <c r="H790" s="130"/>
      <c r="I790" s="130"/>
      <c r="J790" s="6">
        <v>0</v>
      </c>
    </row>
    <row r="791" spans="1:10" s="73" customFormat="1" ht="30" customHeight="1" x14ac:dyDescent="0.2">
      <c r="A791" s="59"/>
      <c r="B791" s="69" t="s">
        <v>68</v>
      </c>
      <c r="C791" s="79">
        <f>SUM(C792:C793)</f>
        <v>2700000</v>
      </c>
      <c r="D791" s="79">
        <f>SUM(D792:D793)</f>
        <v>3400000</v>
      </c>
      <c r="E791" s="720"/>
      <c r="F791" s="720"/>
      <c r="G791" s="501"/>
      <c r="H791" s="130"/>
      <c r="I791" s="499"/>
      <c r="J791" s="14">
        <v>203997.18</v>
      </c>
    </row>
    <row r="792" spans="1:10" s="73" customFormat="1" ht="30" customHeight="1" x14ac:dyDescent="0.2">
      <c r="A792" s="59"/>
      <c r="B792" s="69" t="s">
        <v>67</v>
      </c>
      <c r="C792" s="52">
        <v>600000</v>
      </c>
      <c r="D792" s="52">
        <f>600000+500000</f>
        <v>1100000</v>
      </c>
      <c r="E792" s="719"/>
      <c r="F792" s="496"/>
      <c r="G792" s="126"/>
      <c r="H792" s="130"/>
      <c r="I792" s="130"/>
      <c r="J792" s="6">
        <v>181243.13</v>
      </c>
    </row>
    <row r="793" spans="1:10" s="73" customFormat="1" ht="30" customHeight="1" x14ac:dyDescent="0.2">
      <c r="A793" s="59"/>
      <c r="B793" s="69" t="s">
        <v>66</v>
      </c>
      <c r="C793" s="52">
        <f>SUM(C794:C800)</f>
        <v>2100000</v>
      </c>
      <c r="D793" s="52">
        <f>SUM(D794:D800)</f>
        <v>2300000</v>
      </c>
      <c r="E793" s="719"/>
      <c r="F793" s="206"/>
      <c r="G793" s="126"/>
      <c r="H793" s="130"/>
      <c r="I793" s="130"/>
      <c r="J793" s="14">
        <v>0</v>
      </c>
    </row>
    <row r="794" spans="1:10" customFormat="1" ht="30" customHeight="1" x14ac:dyDescent="0.2">
      <c r="A794" s="76"/>
      <c r="B794" s="78" t="s">
        <v>65</v>
      </c>
      <c r="C794" s="64">
        <v>500000</v>
      </c>
      <c r="D794" s="64">
        <f>500000-300000</f>
        <v>200000</v>
      </c>
      <c r="E794" s="719"/>
      <c r="F794" s="496"/>
      <c r="G794" s="126"/>
      <c r="H794" s="130"/>
      <c r="I794" s="130"/>
      <c r="J794" s="6">
        <v>0</v>
      </c>
    </row>
    <row r="795" spans="1:10" customFormat="1" ht="30" customHeight="1" x14ac:dyDescent="0.2">
      <c r="A795" s="76"/>
      <c r="B795" s="72" t="s">
        <v>64</v>
      </c>
      <c r="C795" s="52">
        <v>100000</v>
      </c>
      <c r="D795" s="52">
        <v>100000</v>
      </c>
      <c r="E795" s="719"/>
      <c r="F795" s="496"/>
      <c r="G795" s="126"/>
      <c r="H795" s="130"/>
      <c r="I795" s="130"/>
      <c r="J795" s="14">
        <v>0</v>
      </c>
    </row>
    <row r="796" spans="1:10" s="73" customFormat="1" ht="30" customHeight="1" x14ac:dyDescent="0.2">
      <c r="A796" s="76"/>
      <c r="B796" s="78" t="s">
        <v>63</v>
      </c>
      <c r="C796" s="52">
        <v>200000</v>
      </c>
      <c r="D796" s="52">
        <v>200000</v>
      </c>
      <c r="E796" s="719"/>
      <c r="F796" s="496"/>
      <c r="G796" s="126"/>
      <c r="H796" s="130"/>
      <c r="I796" s="130"/>
      <c r="J796" s="14">
        <v>0</v>
      </c>
    </row>
    <row r="797" spans="1:10" s="73" customFormat="1" ht="30" customHeight="1" x14ac:dyDescent="0.2">
      <c r="A797" s="76"/>
      <c r="B797" s="72" t="s">
        <v>62</v>
      </c>
      <c r="C797" s="9">
        <v>200000</v>
      </c>
      <c r="D797" s="9">
        <v>200000</v>
      </c>
      <c r="E797" s="719"/>
      <c r="F797" s="496"/>
      <c r="G797" s="126"/>
      <c r="H797" s="130"/>
      <c r="I797" s="130"/>
      <c r="J797" s="14">
        <v>0</v>
      </c>
    </row>
    <row r="798" spans="1:10" s="73" customFormat="1" ht="30" customHeight="1" x14ac:dyDescent="0.2">
      <c r="A798" s="76"/>
      <c r="B798" s="72" t="s">
        <v>61</v>
      </c>
      <c r="C798" s="10">
        <v>300000</v>
      </c>
      <c r="D798" s="10">
        <v>300000</v>
      </c>
      <c r="E798" s="719"/>
      <c r="F798" s="496"/>
      <c r="G798" s="126"/>
      <c r="H798" s="130"/>
      <c r="I798" s="130"/>
      <c r="J798" s="6">
        <v>22754.05</v>
      </c>
    </row>
    <row r="799" spans="1:10" s="73" customFormat="1" ht="30" customHeight="1" x14ac:dyDescent="0.2">
      <c r="A799" s="76"/>
      <c r="B799" s="77" t="s">
        <v>60</v>
      </c>
      <c r="C799" s="9">
        <v>800000</v>
      </c>
      <c r="D799" s="9">
        <v>800000</v>
      </c>
      <c r="E799" s="719"/>
      <c r="F799" s="496"/>
      <c r="G799" s="126"/>
      <c r="H799" s="130"/>
      <c r="I799" s="130"/>
      <c r="J799" s="14">
        <v>0</v>
      </c>
    </row>
    <row r="800" spans="1:10" s="73" customFormat="1" ht="30" customHeight="1" x14ac:dyDescent="0.2">
      <c r="A800" s="76"/>
      <c r="B800" s="81" t="s">
        <v>971</v>
      </c>
      <c r="C800" s="80">
        <v>0</v>
      </c>
      <c r="D800" s="80">
        <f>350000+150000</f>
        <v>500000</v>
      </c>
      <c r="E800" s="719"/>
      <c r="F800" s="496"/>
      <c r="G800" s="126"/>
      <c r="H800" s="130"/>
      <c r="I800" s="130"/>
      <c r="J800" s="6">
        <v>0</v>
      </c>
    </row>
    <row r="801" spans="1:107" s="73" customFormat="1" ht="30" customHeight="1" x14ac:dyDescent="0.2">
      <c r="A801" s="59"/>
      <c r="B801" s="74" t="s">
        <v>59</v>
      </c>
      <c r="C801" s="64">
        <f>SUM(C802:C806)</f>
        <v>800000</v>
      </c>
      <c r="D801" s="64">
        <f>SUM(D802:D806)</f>
        <v>800000</v>
      </c>
      <c r="E801" s="719"/>
      <c r="F801" s="206"/>
      <c r="G801" s="126"/>
      <c r="H801" s="130"/>
      <c r="I801" s="130"/>
      <c r="J801" s="14">
        <v>0</v>
      </c>
    </row>
    <row r="802" spans="1:107" s="73" customFormat="1" ht="30" customHeight="1" x14ac:dyDescent="0.2">
      <c r="A802" s="59"/>
      <c r="B802" s="72" t="s">
        <v>58</v>
      </c>
      <c r="C802" s="64">
        <v>100000</v>
      </c>
      <c r="D802" s="64">
        <v>100000</v>
      </c>
      <c r="E802" s="719"/>
      <c r="F802" s="496"/>
      <c r="G802" s="126"/>
      <c r="H802" s="130"/>
      <c r="I802" s="130"/>
      <c r="J802" s="6">
        <v>0</v>
      </c>
    </row>
    <row r="803" spans="1:107" s="73" customFormat="1" ht="30" customHeight="1" x14ac:dyDescent="0.2">
      <c r="A803" s="59"/>
      <c r="B803" s="72" t="s">
        <v>57</v>
      </c>
      <c r="C803" s="64">
        <v>300000</v>
      </c>
      <c r="D803" s="64">
        <v>300000</v>
      </c>
      <c r="E803" s="719"/>
      <c r="F803" s="496"/>
      <c r="G803" s="126"/>
      <c r="H803" s="130"/>
      <c r="I803" s="130"/>
      <c r="J803" s="14">
        <v>0</v>
      </c>
    </row>
    <row r="804" spans="1:107" s="73" customFormat="1" ht="30" customHeight="1" x14ac:dyDescent="0.2">
      <c r="A804" s="59"/>
      <c r="B804" s="72" t="s">
        <v>56</v>
      </c>
      <c r="C804" s="64">
        <v>100000</v>
      </c>
      <c r="D804" s="64">
        <v>100000</v>
      </c>
      <c r="E804" s="719"/>
      <c r="F804" s="496"/>
      <c r="G804" s="126"/>
      <c r="H804" s="130"/>
      <c r="I804" s="130"/>
      <c r="J804" s="6">
        <v>0</v>
      </c>
    </row>
    <row r="805" spans="1:107" customFormat="1" ht="30" customHeight="1" x14ac:dyDescent="0.2">
      <c r="A805" s="59"/>
      <c r="B805" s="72" t="s">
        <v>55</v>
      </c>
      <c r="C805" s="52">
        <v>0</v>
      </c>
      <c r="D805" s="52">
        <v>0</v>
      </c>
      <c r="E805" s="719"/>
      <c r="F805" s="496"/>
      <c r="G805" s="126"/>
      <c r="H805" s="130"/>
      <c r="I805" s="130"/>
      <c r="J805" s="14">
        <v>0</v>
      </c>
    </row>
    <row r="806" spans="1:107" customFormat="1" ht="30" customHeight="1" x14ac:dyDescent="0.2">
      <c r="A806" s="71"/>
      <c r="B806" s="72" t="s">
        <v>54</v>
      </c>
      <c r="C806" s="52">
        <v>300000</v>
      </c>
      <c r="D806" s="52">
        <v>300000</v>
      </c>
      <c r="E806" s="719"/>
      <c r="F806" s="496"/>
      <c r="G806" s="126"/>
      <c r="H806" s="130"/>
      <c r="I806" s="130"/>
      <c r="J806" s="6">
        <v>0</v>
      </c>
    </row>
    <row r="807" spans="1:107" customFormat="1" ht="30" customHeight="1" x14ac:dyDescent="0.2">
      <c r="A807" s="71">
        <v>3634</v>
      </c>
      <c r="B807" s="58" t="s">
        <v>53</v>
      </c>
      <c r="C807" s="63">
        <f>SUM(C808:C812)</f>
        <v>28550000</v>
      </c>
      <c r="D807" s="63">
        <f>SUM(D808:D812)</f>
        <v>15100000</v>
      </c>
      <c r="E807" s="715"/>
      <c r="F807" s="206"/>
      <c r="G807" s="120"/>
      <c r="H807" s="121"/>
      <c r="I807" s="121"/>
      <c r="J807" s="14">
        <v>900865.74</v>
      </c>
    </row>
    <row r="808" spans="1:107" customFormat="1" ht="30" customHeight="1" x14ac:dyDescent="0.2">
      <c r="A808" s="59"/>
      <c r="B808" s="67" t="s">
        <v>52</v>
      </c>
      <c r="C808" s="10">
        <v>200000</v>
      </c>
      <c r="D808" s="10">
        <v>200000</v>
      </c>
      <c r="E808" s="206"/>
      <c r="F808" s="496"/>
      <c r="G808" s="126"/>
      <c r="H808" s="130"/>
      <c r="I808" s="130"/>
      <c r="J808" s="6">
        <v>94974.11</v>
      </c>
      <c r="K808" s="68"/>
      <c r="L808" s="68"/>
      <c r="M808" s="68"/>
      <c r="N808" s="68"/>
      <c r="O808" s="68"/>
      <c r="P808" s="68"/>
      <c r="Q808" s="68"/>
      <c r="R808" s="68"/>
      <c r="S808" s="68"/>
      <c r="T808" s="68"/>
      <c r="U808" s="68"/>
      <c r="V808" s="68"/>
      <c r="W808" s="68"/>
      <c r="X808" s="68"/>
      <c r="Y808" s="68"/>
      <c r="Z808" s="68"/>
      <c r="AA808" s="68"/>
      <c r="AB808" s="68"/>
      <c r="AC808" s="68"/>
      <c r="AD808" s="68"/>
      <c r="AE808" s="68"/>
      <c r="AF808" s="68"/>
      <c r="AG808" s="68"/>
      <c r="AH808" s="68"/>
      <c r="AI808" s="68"/>
      <c r="AJ808" s="68"/>
      <c r="AK808" s="68"/>
      <c r="AL808" s="68"/>
      <c r="AM808" s="68"/>
      <c r="AN808" s="68"/>
      <c r="AO808" s="68"/>
      <c r="AP808" s="68"/>
      <c r="AQ808" s="68"/>
      <c r="AR808" s="68"/>
      <c r="AS808" s="68"/>
      <c r="AT808" s="68"/>
      <c r="AU808" s="68"/>
      <c r="AV808" s="68"/>
      <c r="AW808" s="68"/>
      <c r="AX808" s="68"/>
      <c r="AY808" s="68"/>
      <c r="AZ808" s="68"/>
      <c r="BA808" s="68"/>
      <c r="BB808" s="68"/>
      <c r="BC808" s="68"/>
      <c r="BD808" s="68"/>
      <c r="BE808" s="68"/>
      <c r="BF808" s="68"/>
      <c r="BG808" s="68"/>
      <c r="BH808" s="68"/>
      <c r="BI808" s="68"/>
      <c r="BJ808" s="68"/>
      <c r="BK808" s="68"/>
      <c r="BL808" s="68"/>
      <c r="BM808" s="68"/>
      <c r="BN808" s="68"/>
      <c r="BO808" s="68"/>
      <c r="BP808" s="68"/>
      <c r="BQ808" s="68"/>
      <c r="BR808" s="68"/>
      <c r="BS808" s="68"/>
      <c r="BT808" s="68"/>
      <c r="BU808" s="68"/>
      <c r="BV808" s="68"/>
      <c r="BW808" s="68"/>
      <c r="BX808" s="68"/>
      <c r="BY808" s="68"/>
      <c r="BZ808" s="68"/>
      <c r="CA808" s="68"/>
      <c r="CB808" s="68"/>
      <c r="CC808" s="68"/>
      <c r="CD808" s="68"/>
      <c r="CE808" s="68"/>
      <c r="CF808" s="68"/>
      <c r="CG808" s="68"/>
      <c r="CH808" s="68"/>
      <c r="CI808" s="68"/>
      <c r="CJ808" s="68"/>
      <c r="CK808" s="68"/>
      <c r="CL808" s="68"/>
      <c r="CM808" s="68"/>
      <c r="CN808" s="68"/>
      <c r="CO808" s="68"/>
      <c r="CP808" s="68"/>
      <c r="CQ808" s="68"/>
      <c r="CR808" s="68"/>
      <c r="CS808" s="68"/>
      <c r="CT808" s="68"/>
      <c r="CU808" s="68"/>
      <c r="CV808" s="68"/>
      <c r="CW808" s="68"/>
      <c r="CX808" s="68"/>
      <c r="CY808" s="68"/>
      <c r="CZ808" s="68"/>
      <c r="DA808" s="68"/>
      <c r="DB808" s="68"/>
      <c r="DC808" s="68"/>
    </row>
    <row r="809" spans="1:107" customFormat="1" ht="30" customHeight="1" x14ac:dyDescent="0.2">
      <c r="A809" s="59"/>
      <c r="B809" s="67" t="s">
        <v>792</v>
      </c>
      <c r="C809" s="52">
        <v>500000</v>
      </c>
      <c r="D809" s="52">
        <v>500000</v>
      </c>
      <c r="E809" s="721"/>
      <c r="F809" s="496"/>
      <c r="G809" s="126"/>
      <c r="H809" s="130"/>
      <c r="I809" s="130"/>
      <c r="J809" s="14">
        <v>0</v>
      </c>
      <c r="K809" s="68"/>
      <c r="L809" s="68"/>
      <c r="M809" s="68"/>
      <c r="N809" s="68"/>
      <c r="O809" s="68"/>
      <c r="P809" s="68"/>
      <c r="Q809" s="68"/>
      <c r="R809" s="68"/>
      <c r="S809" s="68"/>
      <c r="T809" s="68"/>
      <c r="U809" s="68"/>
      <c r="V809" s="68"/>
      <c r="W809" s="68"/>
      <c r="X809" s="68"/>
      <c r="Y809" s="68"/>
      <c r="Z809" s="68"/>
      <c r="AA809" s="68"/>
      <c r="AB809" s="68"/>
      <c r="AC809" s="68"/>
      <c r="AD809" s="68"/>
      <c r="AE809" s="68"/>
      <c r="AF809" s="68"/>
      <c r="AG809" s="68"/>
      <c r="AH809" s="68"/>
      <c r="AI809" s="68"/>
      <c r="AJ809" s="68"/>
      <c r="AK809" s="68"/>
      <c r="AL809" s="68"/>
      <c r="AM809" s="68"/>
      <c r="AN809" s="68"/>
      <c r="AO809" s="68"/>
      <c r="AP809" s="68"/>
      <c r="AQ809" s="68"/>
      <c r="AR809" s="68"/>
      <c r="AS809" s="68"/>
      <c r="AT809" s="68"/>
      <c r="AU809" s="68"/>
      <c r="AV809" s="68"/>
      <c r="AW809" s="68"/>
      <c r="AX809" s="68"/>
      <c r="AY809" s="68"/>
      <c r="AZ809" s="68"/>
      <c r="BA809" s="68"/>
      <c r="BB809" s="68"/>
      <c r="BC809" s="68"/>
      <c r="BD809" s="68"/>
      <c r="BE809" s="68"/>
      <c r="BF809" s="68"/>
      <c r="BG809" s="68"/>
      <c r="BH809" s="68"/>
      <c r="BI809" s="68"/>
      <c r="BJ809" s="68"/>
      <c r="BK809" s="68"/>
      <c r="BL809" s="68"/>
      <c r="BM809" s="68"/>
      <c r="BN809" s="68"/>
      <c r="BO809" s="68"/>
      <c r="BP809" s="68"/>
      <c r="BQ809" s="68"/>
      <c r="BR809" s="68"/>
      <c r="BS809" s="68"/>
      <c r="BT809" s="68"/>
      <c r="BU809" s="68"/>
      <c r="BV809" s="68"/>
      <c r="BW809" s="68"/>
      <c r="BX809" s="68"/>
      <c r="BY809" s="68"/>
      <c r="BZ809" s="68"/>
      <c r="CA809" s="68"/>
      <c r="CB809" s="68"/>
      <c r="CC809" s="68"/>
      <c r="CD809" s="68"/>
      <c r="CE809" s="68"/>
      <c r="CF809" s="68"/>
      <c r="CG809" s="68"/>
      <c r="CH809" s="68"/>
      <c r="CI809" s="68"/>
      <c r="CJ809" s="68"/>
      <c r="CK809" s="68"/>
      <c r="CL809" s="68"/>
      <c r="CM809" s="68"/>
      <c r="CN809" s="68"/>
      <c r="CO809" s="68"/>
      <c r="CP809" s="68"/>
      <c r="CQ809" s="68"/>
      <c r="CR809" s="68"/>
      <c r="CS809" s="68"/>
      <c r="CT809" s="68"/>
      <c r="CU809" s="68"/>
      <c r="CV809" s="68"/>
      <c r="CW809" s="68"/>
      <c r="CX809" s="68"/>
      <c r="CY809" s="68"/>
      <c r="CZ809" s="68"/>
      <c r="DA809" s="68"/>
      <c r="DB809" s="68"/>
      <c r="DC809" s="68"/>
    </row>
    <row r="810" spans="1:107" s="70" customFormat="1" ht="30" customHeight="1" x14ac:dyDescent="0.2">
      <c r="A810" s="59"/>
      <c r="B810" s="69" t="s">
        <v>51</v>
      </c>
      <c r="C810" s="64">
        <v>600000</v>
      </c>
      <c r="D810" s="64">
        <v>600000</v>
      </c>
      <c r="E810" s="721"/>
      <c r="F810" s="496"/>
      <c r="G810" s="126"/>
      <c r="H810" s="130"/>
      <c r="I810" s="130"/>
      <c r="J810" s="6">
        <v>42229.08</v>
      </c>
      <c r="K810" s="68"/>
      <c r="L810" s="68"/>
      <c r="M810" s="68"/>
      <c r="N810" s="68"/>
      <c r="O810" s="68"/>
      <c r="P810" s="68"/>
      <c r="Q810" s="68"/>
      <c r="R810" s="68"/>
      <c r="S810" s="68"/>
      <c r="T810" s="68"/>
      <c r="U810" s="68"/>
      <c r="V810" s="68"/>
      <c r="W810" s="68"/>
      <c r="X810" s="68"/>
      <c r="Y810" s="68"/>
      <c r="Z810" s="68"/>
      <c r="AA810" s="68"/>
      <c r="AB810" s="68"/>
      <c r="AC810" s="68"/>
      <c r="AD810" s="68"/>
      <c r="AE810" s="68"/>
      <c r="AF810" s="68"/>
      <c r="AG810" s="68"/>
      <c r="AH810" s="68"/>
      <c r="AI810" s="68"/>
      <c r="AJ810" s="68"/>
      <c r="AK810" s="68"/>
      <c r="AL810" s="68"/>
      <c r="AM810" s="68"/>
      <c r="AN810" s="68"/>
      <c r="AO810" s="68"/>
      <c r="AP810" s="68"/>
      <c r="AQ810" s="68"/>
      <c r="AR810" s="68"/>
      <c r="AS810" s="68"/>
      <c r="AT810" s="68"/>
      <c r="AU810" s="68"/>
      <c r="AV810" s="68"/>
      <c r="AW810" s="68"/>
      <c r="AX810" s="68"/>
      <c r="AY810" s="68"/>
      <c r="AZ810" s="68"/>
      <c r="BA810" s="68"/>
      <c r="BB810" s="68"/>
      <c r="BC810" s="68"/>
      <c r="BD810" s="68"/>
      <c r="BE810" s="68"/>
      <c r="BF810" s="68"/>
      <c r="BG810" s="68"/>
      <c r="BH810" s="68"/>
      <c r="BI810" s="68"/>
      <c r="BJ810" s="68"/>
      <c r="BK810" s="68"/>
      <c r="BL810" s="68"/>
      <c r="BM810" s="68"/>
      <c r="BN810" s="68"/>
      <c r="BO810" s="68"/>
      <c r="BP810" s="68"/>
      <c r="BQ810" s="68"/>
      <c r="BR810" s="68"/>
      <c r="BS810" s="68"/>
      <c r="BT810" s="68"/>
      <c r="BU810" s="68"/>
      <c r="BV810" s="68"/>
      <c r="BW810" s="68"/>
      <c r="BX810" s="68"/>
      <c r="BY810" s="68"/>
      <c r="BZ810" s="68"/>
      <c r="CA810" s="68"/>
      <c r="CB810" s="68"/>
      <c r="CC810" s="68"/>
      <c r="CD810" s="68"/>
      <c r="CE810" s="68"/>
      <c r="CF810" s="68"/>
      <c r="CG810" s="68"/>
      <c r="CH810" s="68"/>
      <c r="CI810" s="68"/>
      <c r="CJ810" s="68"/>
      <c r="CK810" s="68"/>
      <c r="CL810" s="68"/>
      <c r="CM810" s="68"/>
      <c r="CN810" s="68"/>
      <c r="CO810" s="68"/>
      <c r="CP810" s="68"/>
      <c r="CQ810" s="68"/>
      <c r="CR810" s="68"/>
      <c r="CS810" s="68"/>
      <c r="CT810" s="68"/>
      <c r="CU810" s="68"/>
      <c r="CV810" s="68"/>
      <c r="CW810" s="68"/>
      <c r="CX810" s="68"/>
      <c r="CY810" s="68"/>
      <c r="CZ810" s="68"/>
      <c r="DA810" s="68"/>
      <c r="DB810" s="68"/>
      <c r="DC810" s="68"/>
    </row>
    <row r="811" spans="1:107" customFormat="1" ht="30" customHeight="1" x14ac:dyDescent="0.2">
      <c r="A811" s="59"/>
      <c r="B811" s="67" t="s">
        <v>50</v>
      </c>
      <c r="C811" s="52">
        <v>1000000</v>
      </c>
      <c r="D811" s="52">
        <v>1000000</v>
      </c>
      <c r="E811" s="719"/>
      <c r="F811" s="496"/>
      <c r="G811" s="126"/>
      <c r="H811" s="130"/>
      <c r="I811" s="130"/>
      <c r="J811" s="14">
        <v>0</v>
      </c>
      <c r="K811" s="68"/>
      <c r="L811" s="68"/>
      <c r="M811" s="68"/>
      <c r="N811" s="68"/>
      <c r="O811" s="68"/>
      <c r="P811" s="68"/>
      <c r="Q811" s="68"/>
      <c r="R811" s="68"/>
      <c r="S811" s="68"/>
      <c r="T811" s="68"/>
      <c r="U811" s="68"/>
      <c r="V811" s="68"/>
      <c r="W811" s="68"/>
      <c r="X811" s="68"/>
      <c r="Y811" s="68"/>
      <c r="Z811" s="68"/>
      <c r="AA811" s="68"/>
      <c r="AB811" s="68"/>
      <c r="AC811" s="68"/>
      <c r="AD811" s="68"/>
      <c r="AE811" s="68"/>
      <c r="AF811" s="68"/>
      <c r="AG811" s="68"/>
      <c r="AH811" s="68"/>
      <c r="AI811" s="68"/>
      <c r="AJ811" s="68"/>
      <c r="AK811" s="68"/>
      <c r="AL811" s="68"/>
      <c r="AM811" s="68"/>
      <c r="AN811" s="68"/>
      <c r="AO811" s="68"/>
      <c r="AP811" s="68"/>
      <c r="AQ811" s="68"/>
      <c r="AR811" s="68"/>
      <c r="AS811" s="68"/>
      <c r="AT811" s="68"/>
      <c r="AU811" s="68"/>
      <c r="AV811" s="68"/>
      <c r="AW811" s="68"/>
      <c r="AX811" s="68"/>
      <c r="AY811" s="68"/>
      <c r="AZ811" s="68"/>
      <c r="BA811" s="68"/>
      <c r="BB811" s="68"/>
      <c r="BC811" s="68"/>
      <c r="BD811" s="68"/>
      <c r="BE811" s="68"/>
      <c r="BF811" s="68"/>
      <c r="BG811" s="68"/>
      <c r="BH811" s="68"/>
      <c r="BI811" s="68"/>
      <c r="BJ811" s="68"/>
      <c r="BK811" s="68"/>
      <c r="BL811" s="68"/>
      <c r="BM811" s="68"/>
      <c r="BN811" s="68"/>
      <c r="BO811" s="68"/>
      <c r="BP811" s="68"/>
      <c r="BQ811" s="68"/>
      <c r="BR811" s="68"/>
      <c r="BS811" s="68"/>
      <c r="BT811" s="68"/>
      <c r="BU811" s="68"/>
      <c r="BV811" s="68"/>
      <c r="BW811" s="68"/>
      <c r="BX811" s="68"/>
      <c r="BY811" s="68"/>
      <c r="BZ811" s="68"/>
      <c r="CA811" s="68"/>
      <c r="CB811" s="68"/>
      <c r="CC811" s="68"/>
      <c r="CD811" s="68"/>
      <c r="CE811" s="68"/>
      <c r="CF811" s="68"/>
      <c r="CG811" s="68"/>
      <c r="CH811" s="68"/>
      <c r="CI811" s="68"/>
      <c r="CJ811" s="68"/>
      <c r="CK811" s="68"/>
      <c r="CL811" s="68"/>
      <c r="CM811" s="68"/>
      <c r="CN811" s="68"/>
      <c r="CO811" s="68"/>
      <c r="CP811" s="68"/>
      <c r="CQ811" s="68"/>
      <c r="CR811" s="68"/>
      <c r="CS811" s="68"/>
      <c r="CT811" s="68"/>
      <c r="CU811" s="68"/>
      <c r="CV811" s="68"/>
      <c r="CW811" s="68"/>
      <c r="CX811" s="68"/>
      <c r="CY811" s="68"/>
      <c r="CZ811" s="68"/>
      <c r="DA811" s="68"/>
      <c r="DB811" s="68"/>
      <c r="DC811" s="68"/>
    </row>
    <row r="812" spans="1:107" customFormat="1" ht="30" customHeight="1" x14ac:dyDescent="0.2">
      <c r="A812" s="54"/>
      <c r="B812" s="69" t="s">
        <v>49</v>
      </c>
      <c r="C812" s="52">
        <f>SUM(C813:C822)</f>
        <v>26250000</v>
      </c>
      <c r="D812" s="52">
        <f>SUM(D813:D822)</f>
        <v>12800000</v>
      </c>
      <c r="E812" s="719"/>
      <c r="F812" s="206"/>
      <c r="G812" s="126"/>
      <c r="H812" s="130"/>
      <c r="I812" s="130"/>
      <c r="J812" s="6">
        <v>763662.55</v>
      </c>
      <c r="K812" s="68"/>
      <c r="L812" s="68"/>
      <c r="M812" s="68"/>
      <c r="N812" s="68"/>
      <c r="O812" s="68"/>
      <c r="P812" s="68"/>
      <c r="Q812" s="68"/>
      <c r="R812" s="68"/>
      <c r="S812" s="68"/>
      <c r="T812" s="68"/>
      <c r="U812" s="68"/>
      <c r="V812" s="68"/>
      <c r="W812" s="68"/>
      <c r="X812" s="68"/>
      <c r="Y812" s="68"/>
      <c r="Z812" s="68"/>
      <c r="AA812" s="68"/>
      <c r="AB812" s="68"/>
      <c r="AC812" s="68"/>
      <c r="AD812" s="68"/>
      <c r="AE812" s="68"/>
      <c r="AF812" s="68"/>
      <c r="AG812" s="68"/>
      <c r="AH812" s="68"/>
      <c r="AI812" s="68"/>
      <c r="AJ812" s="68"/>
      <c r="AK812" s="68"/>
      <c r="AL812" s="68"/>
      <c r="AM812" s="68"/>
      <c r="AN812" s="68"/>
      <c r="AO812" s="68"/>
      <c r="AP812" s="68"/>
      <c r="AQ812" s="68"/>
      <c r="AR812" s="68"/>
      <c r="AS812" s="68"/>
      <c r="AT812" s="68"/>
      <c r="AU812" s="68"/>
      <c r="AV812" s="68"/>
      <c r="AW812" s="68"/>
      <c r="AX812" s="68"/>
      <c r="AY812" s="68"/>
      <c r="AZ812" s="68"/>
      <c r="BA812" s="68"/>
      <c r="BB812" s="68"/>
      <c r="BC812" s="68"/>
      <c r="BD812" s="68"/>
      <c r="BE812" s="68"/>
      <c r="BF812" s="68"/>
      <c r="BG812" s="68"/>
      <c r="BH812" s="68"/>
      <c r="BI812" s="68"/>
      <c r="BJ812" s="68"/>
      <c r="BK812" s="68"/>
      <c r="BL812" s="68"/>
      <c r="BM812" s="68"/>
      <c r="BN812" s="68"/>
      <c r="BO812" s="68"/>
      <c r="BP812" s="68"/>
      <c r="BQ812" s="68"/>
      <c r="BR812" s="68"/>
      <c r="BS812" s="68"/>
      <c r="BT812" s="68"/>
      <c r="BU812" s="68"/>
      <c r="BV812" s="68"/>
      <c r="BW812" s="68"/>
      <c r="BX812" s="68"/>
      <c r="BY812" s="68"/>
      <c r="BZ812" s="68"/>
      <c r="CA812" s="68"/>
      <c r="CB812" s="68"/>
      <c r="CC812" s="68"/>
      <c r="CD812" s="68"/>
      <c r="CE812" s="68"/>
      <c r="CF812" s="68"/>
      <c r="CG812" s="68"/>
      <c r="CH812" s="68"/>
      <c r="CI812" s="68"/>
      <c r="CJ812" s="68"/>
      <c r="CK812" s="68"/>
      <c r="CL812" s="68"/>
      <c r="CM812" s="68"/>
      <c r="CN812" s="68"/>
      <c r="CO812" s="68"/>
      <c r="CP812" s="68"/>
      <c r="CQ812" s="68"/>
      <c r="CR812" s="68"/>
      <c r="CS812" s="68"/>
      <c r="CT812" s="68"/>
      <c r="CU812" s="68"/>
      <c r="CV812" s="68"/>
      <c r="CW812" s="68"/>
      <c r="CX812" s="68"/>
      <c r="CY812" s="68"/>
      <c r="CZ812" s="68"/>
      <c r="DA812" s="68"/>
      <c r="DB812" s="68"/>
      <c r="DC812" s="68"/>
    </row>
    <row r="813" spans="1:107" customFormat="1" ht="30" customHeight="1" x14ac:dyDescent="0.2">
      <c r="A813" s="54"/>
      <c r="B813" s="67" t="s">
        <v>48</v>
      </c>
      <c r="C813" s="10">
        <v>900000</v>
      </c>
      <c r="D813" s="10">
        <v>900000</v>
      </c>
      <c r="E813" s="719"/>
      <c r="F813" s="496"/>
      <c r="G813" s="126"/>
      <c r="H813" s="130"/>
      <c r="I813" s="130"/>
      <c r="J813" s="6">
        <v>0</v>
      </c>
    </row>
    <row r="814" spans="1:107" s="2" customFormat="1" ht="30" customHeight="1" x14ac:dyDescent="0.2">
      <c r="A814" s="54"/>
      <c r="B814" s="66" t="s">
        <v>47</v>
      </c>
      <c r="C814" s="64">
        <v>200000</v>
      </c>
      <c r="D814" s="64">
        <v>200000</v>
      </c>
      <c r="E814" s="719"/>
      <c r="F814" s="496"/>
      <c r="G814" s="126"/>
      <c r="H814" s="130"/>
      <c r="I814" s="130"/>
      <c r="J814" s="14">
        <v>0</v>
      </c>
    </row>
    <row r="815" spans="1:107" s="2" customFormat="1" ht="30" customHeight="1" x14ac:dyDescent="0.2">
      <c r="A815" s="54"/>
      <c r="B815" s="65" t="s">
        <v>46</v>
      </c>
      <c r="C815" s="64">
        <v>4750000</v>
      </c>
      <c r="D815" s="64">
        <f>1450000+1482000.8</f>
        <v>2932000.8</v>
      </c>
      <c r="E815" s="719"/>
      <c r="F815" s="496"/>
      <c r="G815" s="126"/>
      <c r="H815" s="130"/>
      <c r="I815" s="130"/>
      <c r="J815" s="6">
        <v>0</v>
      </c>
    </row>
    <row r="816" spans="1:107" s="2" customFormat="1" ht="30" customHeight="1" x14ac:dyDescent="0.2">
      <c r="A816" s="54"/>
      <c r="B816" s="65" t="s">
        <v>45</v>
      </c>
      <c r="C816" s="52">
        <v>3300000</v>
      </c>
      <c r="D816" s="52">
        <f>3300000-3300000</f>
        <v>0</v>
      </c>
      <c r="E816" s="719"/>
      <c r="F816" s="496"/>
      <c r="G816" s="126"/>
      <c r="H816" s="130"/>
      <c r="I816" s="130"/>
      <c r="J816" s="14">
        <v>0</v>
      </c>
    </row>
    <row r="817" spans="1:10" s="2" customFormat="1" ht="30" customHeight="1" x14ac:dyDescent="0.2">
      <c r="A817" s="54"/>
      <c r="B817" s="65" t="s">
        <v>924</v>
      </c>
      <c r="C817" s="64">
        <v>3750000</v>
      </c>
      <c r="D817" s="64">
        <f>3750000-1482000.8</f>
        <v>2267999.2000000002</v>
      </c>
      <c r="E817" s="719"/>
      <c r="F817" s="496"/>
      <c r="G817" s="126"/>
      <c r="H817" s="130"/>
      <c r="I817" s="130"/>
      <c r="J817" s="6">
        <v>0</v>
      </c>
    </row>
    <row r="818" spans="1:10" s="2" customFormat="1" ht="30" customHeight="1" x14ac:dyDescent="0.2">
      <c r="A818" s="54"/>
      <c r="B818" s="65" t="s">
        <v>44</v>
      </c>
      <c r="C818" s="64">
        <v>2050000</v>
      </c>
      <c r="D818" s="64">
        <f>2050000-1000000</f>
        <v>1050000</v>
      </c>
      <c r="E818" s="719"/>
      <c r="F818" s="496"/>
      <c r="G818" s="126"/>
      <c r="H818" s="130"/>
      <c r="I818" s="130"/>
      <c r="J818" s="14">
        <v>0</v>
      </c>
    </row>
    <row r="819" spans="1:10" s="2" customFormat="1" ht="30" customHeight="1" x14ac:dyDescent="0.2">
      <c r="A819" s="54"/>
      <c r="B819" s="65" t="s">
        <v>43</v>
      </c>
      <c r="C819" s="52">
        <v>2000000</v>
      </c>
      <c r="D819" s="52">
        <f>2000000-2000000</f>
        <v>0</v>
      </c>
      <c r="E819" s="719"/>
      <c r="F819" s="496"/>
      <c r="G819" s="126"/>
      <c r="H819" s="130"/>
      <c r="I819" s="130"/>
      <c r="J819" s="6">
        <v>0</v>
      </c>
    </row>
    <row r="820" spans="1:10" s="2" customFormat="1" ht="30" customHeight="1" x14ac:dyDescent="0.2">
      <c r="A820" s="54"/>
      <c r="B820" s="65" t="s">
        <v>42</v>
      </c>
      <c r="C820" s="52">
        <v>6000000</v>
      </c>
      <c r="D820" s="52">
        <f>6000000-2000000</f>
        <v>4000000</v>
      </c>
      <c r="E820" s="719"/>
      <c r="F820" s="496"/>
      <c r="G820" s="126"/>
      <c r="H820" s="130"/>
      <c r="I820" s="130"/>
      <c r="J820" s="14">
        <v>0</v>
      </c>
    </row>
    <row r="821" spans="1:10" s="2" customFormat="1" ht="30" customHeight="1" x14ac:dyDescent="0.2">
      <c r="A821" s="54"/>
      <c r="B821" s="65" t="s">
        <v>793</v>
      </c>
      <c r="C821" s="52">
        <v>2000000</v>
      </c>
      <c r="D821" s="52">
        <f>2000000-1250000</f>
        <v>750000</v>
      </c>
      <c r="E821" s="719"/>
      <c r="F821" s="496"/>
      <c r="G821" s="126"/>
      <c r="H821" s="130"/>
      <c r="I821" s="130"/>
      <c r="J821" s="6">
        <v>0</v>
      </c>
    </row>
    <row r="822" spans="1:10" s="2" customFormat="1" ht="30" customHeight="1" x14ac:dyDescent="0.2">
      <c r="A822" s="54"/>
      <c r="B822" s="65" t="s">
        <v>41</v>
      </c>
      <c r="C822" s="64">
        <v>1300000</v>
      </c>
      <c r="D822" s="64">
        <f>1300000-600000</f>
        <v>700000</v>
      </c>
      <c r="E822" s="719"/>
      <c r="F822" s="496"/>
      <c r="G822" s="126"/>
      <c r="H822" s="130"/>
      <c r="I822" s="130"/>
      <c r="J822" s="14">
        <v>0</v>
      </c>
    </row>
    <row r="823" spans="1:10" s="2" customFormat="1" ht="30" customHeight="1" x14ac:dyDescent="0.2">
      <c r="A823" s="59">
        <v>4351</v>
      </c>
      <c r="B823" s="58" t="s">
        <v>40</v>
      </c>
      <c r="C823" s="24">
        <v>10000</v>
      </c>
      <c r="D823" s="24">
        <v>10000</v>
      </c>
      <c r="E823" s="715"/>
      <c r="F823" s="496"/>
      <c r="G823" s="120"/>
      <c r="H823" s="121"/>
      <c r="I823" s="121"/>
      <c r="J823" s="6">
        <v>5889.67</v>
      </c>
    </row>
    <row r="824" spans="1:10" s="2" customFormat="1" ht="30" customHeight="1" x14ac:dyDescent="0.2">
      <c r="A824" s="59">
        <v>4374</v>
      </c>
      <c r="B824" s="58" t="s">
        <v>39</v>
      </c>
      <c r="C824" s="63">
        <f>C825</f>
        <v>850000</v>
      </c>
      <c r="D824" s="63">
        <f>D825</f>
        <v>850000</v>
      </c>
      <c r="E824" s="715"/>
      <c r="F824" s="206"/>
      <c r="G824" s="120"/>
      <c r="H824" s="121"/>
      <c r="I824" s="121"/>
      <c r="J824" s="14">
        <v>212179.67</v>
      </c>
    </row>
    <row r="825" spans="1:10" customFormat="1" ht="30" customHeight="1" x14ac:dyDescent="0.2">
      <c r="A825" s="54"/>
      <c r="B825" s="62" t="s">
        <v>38</v>
      </c>
      <c r="C825" s="52">
        <f>SUM(C826,C827)</f>
        <v>850000</v>
      </c>
      <c r="D825" s="52">
        <f>SUM(D826,D827)</f>
        <v>850000</v>
      </c>
      <c r="E825" s="719"/>
      <c r="F825" s="206"/>
      <c r="G825" s="126"/>
      <c r="H825" s="130"/>
      <c r="I825" s="130"/>
      <c r="J825" s="6">
        <v>212179.67</v>
      </c>
    </row>
    <row r="826" spans="1:10" customFormat="1" ht="30" customHeight="1" x14ac:dyDescent="0.2">
      <c r="A826" s="55"/>
      <c r="B826" s="61" t="s">
        <v>37</v>
      </c>
      <c r="C826" s="10">
        <v>600000</v>
      </c>
      <c r="D826" s="10">
        <v>600000</v>
      </c>
      <c r="E826" s="719"/>
      <c r="F826" s="496"/>
      <c r="G826" s="126"/>
      <c r="H826" s="130"/>
      <c r="I826" s="130"/>
      <c r="J826" s="14">
        <v>212179.67</v>
      </c>
    </row>
    <row r="827" spans="1:10" customFormat="1" ht="30" customHeight="1" x14ac:dyDescent="0.2">
      <c r="A827" s="55"/>
      <c r="B827" s="60" t="s">
        <v>36</v>
      </c>
      <c r="C827" s="10">
        <v>250000</v>
      </c>
      <c r="D827" s="10">
        <v>250000</v>
      </c>
      <c r="E827" s="719"/>
      <c r="F827" s="496"/>
      <c r="G827" s="126"/>
      <c r="H827" s="130"/>
      <c r="I827" s="130"/>
      <c r="J827" s="6">
        <v>0</v>
      </c>
    </row>
    <row r="828" spans="1:10" customFormat="1" ht="30" customHeight="1" x14ac:dyDescent="0.2">
      <c r="A828" s="59">
        <v>6171</v>
      </c>
      <c r="B828" s="58" t="s">
        <v>35</v>
      </c>
      <c r="C828" s="57">
        <f>SUM(C829:C832)</f>
        <v>2550000</v>
      </c>
      <c r="D828" s="57">
        <f>SUM(D829:D832)</f>
        <v>2100000</v>
      </c>
      <c r="E828" s="715"/>
      <c r="F828" s="206"/>
      <c r="G828" s="120"/>
      <c r="H828" s="121"/>
      <c r="I828" s="121"/>
      <c r="J828" s="14">
        <v>173198.47</v>
      </c>
    </row>
    <row r="829" spans="1:10" customFormat="1" ht="30" customHeight="1" x14ac:dyDescent="0.2">
      <c r="A829" s="54"/>
      <c r="B829" s="56" t="s">
        <v>34</v>
      </c>
      <c r="C829" s="10">
        <v>50000</v>
      </c>
      <c r="D829" s="10">
        <v>50000</v>
      </c>
      <c r="E829" s="206"/>
      <c r="F829" s="496"/>
      <c r="G829" s="126"/>
      <c r="H829" s="130"/>
      <c r="I829" s="130"/>
      <c r="J829" s="6">
        <v>2000</v>
      </c>
    </row>
    <row r="830" spans="1:10" customFormat="1" ht="30" customHeight="1" x14ac:dyDescent="0.2">
      <c r="A830" s="55"/>
      <c r="B830" s="53" t="s">
        <v>33</v>
      </c>
      <c r="C830" s="10">
        <v>2000000</v>
      </c>
      <c r="D830" s="10">
        <f>2000000-1450000+1000000</f>
        <v>1550000</v>
      </c>
      <c r="E830" s="719"/>
      <c r="F830" s="496"/>
      <c r="G830" s="126"/>
      <c r="H830" s="130"/>
      <c r="I830" s="130"/>
      <c r="J830" s="6">
        <v>0</v>
      </c>
    </row>
    <row r="831" spans="1:10" customFormat="1" ht="30" customHeight="1" x14ac:dyDescent="0.2">
      <c r="A831" s="54"/>
      <c r="B831" s="53" t="s">
        <v>32</v>
      </c>
      <c r="C831" s="10">
        <v>300000</v>
      </c>
      <c r="D831" s="10">
        <v>300000</v>
      </c>
      <c r="E831" s="719"/>
      <c r="F831" s="496"/>
      <c r="G831" s="126"/>
      <c r="H831" s="130"/>
      <c r="I831" s="130"/>
      <c r="J831" s="14">
        <v>0</v>
      </c>
    </row>
    <row r="832" spans="1:10" customFormat="1" ht="30" customHeight="1" x14ac:dyDescent="0.2">
      <c r="A832" s="54"/>
      <c r="B832" s="69" t="s">
        <v>31</v>
      </c>
      <c r="C832" s="10">
        <v>200000</v>
      </c>
      <c r="D832" s="10">
        <v>200000</v>
      </c>
      <c r="E832" s="719"/>
      <c r="F832" s="496"/>
      <c r="G832" s="126"/>
      <c r="H832" s="130"/>
      <c r="I832" s="130"/>
      <c r="J832" s="6">
        <v>0</v>
      </c>
    </row>
    <row r="833" spans="1:246" customFormat="1" ht="30" customHeight="1" thickBot="1" x14ac:dyDescent="0.25">
      <c r="A833" s="51"/>
      <c r="B833" s="666"/>
      <c r="C833" s="50"/>
      <c r="D833" s="50"/>
      <c r="E833" s="667"/>
      <c r="F833" s="668"/>
      <c r="G833" s="151"/>
      <c r="H833" s="151"/>
      <c r="I833" s="151"/>
      <c r="J833" s="6"/>
    </row>
    <row r="834" spans="1:246" s="3" customFormat="1" ht="30" customHeight="1" thickBot="1" x14ac:dyDescent="0.35">
      <c r="A834" s="44"/>
      <c r="B834" s="49" t="s">
        <v>30</v>
      </c>
      <c r="C834" s="47">
        <f>SUM(C835+C839+C842)</f>
        <v>600000</v>
      </c>
      <c r="D834" s="47">
        <f>SUM(D835+D839+D842)</f>
        <v>550000</v>
      </c>
      <c r="E834" s="181"/>
      <c r="F834" s="317"/>
      <c r="G834" s="571"/>
      <c r="H834" s="181"/>
      <c r="I834" s="181"/>
      <c r="J834" s="14">
        <v>118750</v>
      </c>
      <c r="K834" s="41"/>
      <c r="L834" s="41"/>
      <c r="M834" s="41"/>
      <c r="N834" s="41"/>
      <c r="O834" s="41"/>
      <c r="P834" s="41"/>
      <c r="Q834" s="41"/>
      <c r="R834" s="41"/>
      <c r="S834" s="41"/>
      <c r="T834" s="41"/>
      <c r="U834" s="41"/>
      <c r="V834" s="41"/>
      <c r="W834" s="41"/>
      <c r="X834" s="41"/>
      <c r="Y834" s="41"/>
      <c r="Z834" s="41"/>
      <c r="AA834" s="41"/>
      <c r="AB834" s="41"/>
      <c r="AC834" s="41"/>
      <c r="AD834" s="41"/>
      <c r="AE834" s="41"/>
      <c r="AF834" s="41"/>
      <c r="AG834" s="41"/>
      <c r="AH834" s="41"/>
      <c r="AI834" s="41"/>
      <c r="AJ834" s="41"/>
      <c r="AK834" s="41"/>
      <c r="AL834" s="41"/>
      <c r="AM834" s="41"/>
      <c r="AN834" s="41"/>
      <c r="AO834" s="41"/>
      <c r="AP834" s="41"/>
      <c r="AQ834" s="41"/>
      <c r="AR834" s="41"/>
      <c r="AS834" s="41"/>
      <c r="AT834" s="41"/>
      <c r="AU834" s="41"/>
      <c r="AV834" s="41"/>
      <c r="AW834" s="41"/>
      <c r="AX834" s="41"/>
      <c r="AY834" s="41"/>
      <c r="AZ834" s="41"/>
      <c r="BA834" s="41"/>
      <c r="BB834" s="41"/>
      <c r="BC834" s="41"/>
      <c r="BD834" s="41"/>
      <c r="BE834" s="41"/>
      <c r="BF834" s="41"/>
      <c r="BG834" s="41"/>
      <c r="BH834" s="41"/>
      <c r="BI834" s="41"/>
      <c r="BJ834" s="41"/>
      <c r="BK834" s="41"/>
      <c r="BL834" s="41"/>
      <c r="BM834" s="41"/>
      <c r="BN834" s="41"/>
      <c r="BO834" s="41"/>
      <c r="BP834" s="41"/>
      <c r="BQ834" s="41"/>
      <c r="BR834" s="41"/>
      <c r="BS834" s="41"/>
      <c r="BT834" s="41"/>
      <c r="BU834" s="41"/>
      <c r="BV834" s="41"/>
      <c r="BW834" s="41"/>
      <c r="BX834" s="41"/>
      <c r="BY834" s="41"/>
      <c r="BZ834" s="41"/>
      <c r="CA834" s="41"/>
      <c r="CB834" s="41"/>
      <c r="CC834" s="41"/>
      <c r="CD834" s="41"/>
      <c r="CE834" s="41"/>
      <c r="CF834" s="41"/>
      <c r="CG834" s="41"/>
      <c r="CH834" s="41"/>
      <c r="CI834" s="41"/>
      <c r="CJ834" s="41"/>
      <c r="CK834" s="41"/>
      <c r="CL834" s="41"/>
      <c r="CM834" s="41"/>
      <c r="CN834" s="41"/>
      <c r="CO834" s="41"/>
      <c r="CP834" s="41"/>
      <c r="CQ834" s="41"/>
      <c r="CR834" s="41"/>
      <c r="CS834" s="41"/>
      <c r="CT834" s="41"/>
      <c r="CU834" s="41"/>
      <c r="CV834" s="41"/>
      <c r="CW834" s="41"/>
      <c r="CX834" s="41"/>
      <c r="CY834" s="41"/>
      <c r="CZ834" s="41"/>
      <c r="DA834" s="41"/>
      <c r="DB834" s="41"/>
      <c r="DC834" s="41"/>
      <c r="DD834" s="41"/>
      <c r="DE834" s="41"/>
      <c r="DF834" s="41"/>
      <c r="DG834" s="41"/>
      <c r="DH834" s="41"/>
      <c r="DI834" s="41"/>
      <c r="DJ834" s="41"/>
      <c r="DK834" s="41"/>
      <c r="DL834" s="41"/>
      <c r="DM834" s="41"/>
      <c r="DN834" s="41"/>
      <c r="DO834" s="41"/>
      <c r="DP834" s="41"/>
      <c r="DQ834" s="41"/>
      <c r="DR834" s="41"/>
      <c r="DS834" s="41"/>
      <c r="DT834" s="41"/>
      <c r="DU834" s="41"/>
      <c r="DV834" s="41"/>
      <c r="DW834" s="41"/>
      <c r="DX834" s="41"/>
      <c r="DY834" s="41"/>
      <c r="DZ834" s="41"/>
      <c r="EA834" s="41"/>
      <c r="EB834" s="41"/>
      <c r="EC834" s="41"/>
      <c r="ED834" s="41"/>
      <c r="EE834" s="41"/>
      <c r="EF834" s="41"/>
      <c r="EG834" s="41"/>
      <c r="EH834" s="41"/>
      <c r="EI834" s="41"/>
      <c r="EJ834" s="41"/>
      <c r="EK834" s="41"/>
      <c r="EL834" s="41"/>
      <c r="EM834" s="41"/>
      <c r="EN834" s="41"/>
      <c r="EO834" s="41"/>
      <c r="EP834" s="41"/>
      <c r="EQ834" s="41"/>
      <c r="ER834" s="41"/>
      <c r="ES834" s="41"/>
      <c r="ET834" s="41"/>
      <c r="EU834" s="41"/>
      <c r="EV834" s="41"/>
      <c r="EW834" s="41"/>
      <c r="EX834" s="41"/>
      <c r="EY834" s="41"/>
      <c r="EZ834" s="41"/>
      <c r="FA834" s="41"/>
      <c r="FB834" s="41"/>
      <c r="FC834" s="41"/>
      <c r="FD834" s="41"/>
      <c r="FE834" s="41"/>
      <c r="FF834" s="41"/>
      <c r="FG834" s="41"/>
      <c r="FH834" s="41"/>
      <c r="FI834" s="41"/>
      <c r="FJ834" s="41"/>
      <c r="FK834" s="41"/>
      <c r="FL834" s="41"/>
      <c r="FM834" s="41"/>
      <c r="FN834" s="41"/>
      <c r="FO834" s="41"/>
      <c r="FP834" s="41"/>
      <c r="FQ834" s="41"/>
      <c r="FR834" s="41"/>
      <c r="FS834" s="41"/>
      <c r="FT834" s="41"/>
      <c r="FU834" s="41"/>
      <c r="FV834" s="41"/>
      <c r="FW834" s="41"/>
      <c r="FX834" s="41"/>
      <c r="FY834" s="41"/>
      <c r="FZ834" s="41"/>
      <c r="GA834" s="41"/>
      <c r="GB834" s="41"/>
      <c r="GC834" s="41"/>
      <c r="GD834" s="41"/>
      <c r="GE834" s="41"/>
      <c r="GF834" s="41"/>
      <c r="GG834" s="41"/>
      <c r="GH834" s="41"/>
      <c r="GI834" s="41"/>
      <c r="GJ834" s="41"/>
      <c r="GK834" s="41"/>
      <c r="GL834" s="41"/>
      <c r="GM834" s="41"/>
      <c r="GN834" s="41"/>
      <c r="GO834" s="41"/>
      <c r="GP834" s="41"/>
      <c r="GQ834" s="41"/>
      <c r="GR834" s="41"/>
      <c r="GS834" s="41"/>
      <c r="GT834" s="41"/>
      <c r="GU834" s="41"/>
      <c r="GV834" s="41"/>
      <c r="GW834" s="41"/>
      <c r="GX834" s="41"/>
      <c r="GY834" s="41"/>
      <c r="GZ834" s="41"/>
      <c r="HA834" s="41"/>
      <c r="HB834" s="41"/>
      <c r="HC834" s="41"/>
      <c r="HD834" s="41"/>
      <c r="HE834" s="41"/>
      <c r="HF834" s="41"/>
      <c r="HG834" s="41"/>
      <c r="HH834" s="41"/>
      <c r="HI834" s="41"/>
      <c r="HJ834" s="41"/>
      <c r="HK834" s="41"/>
      <c r="HL834" s="41"/>
      <c r="HM834" s="41"/>
      <c r="HN834" s="41"/>
      <c r="HO834" s="41"/>
      <c r="HP834" s="41"/>
      <c r="HQ834" s="41"/>
      <c r="HR834" s="41"/>
      <c r="HS834" s="41"/>
      <c r="HT834" s="41"/>
      <c r="HU834" s="41"/>
      <c r="HV834" s="41"/>
      <c r="HW834" s="41"/>
      <c r="HX834" s="41"/>
      <c r="HY834" s="41"/>
      <c r="HZ834" s="41"/>
      <c r="IA834" s="41"/>
      <c r="IB834" s="41"/>
      <c r="IC834" s="41"/>
      <c r="ID834" s="41"/>
      <c r="IE834" s="41"/>
      <c r="IF834" s="41"/>
      <c r="IG834" s="41"/>
      <c r="IH834" s="41"/>
      <c r="II834" s="41"/>
      <c r="IJ834" s="41"/>
      <c r="IK834" s="41"/>
      <c r="IL834" s="41"/>
    </row>
    <row r="835" spans="1:246" s="3" customFormat="1" ht="30" customHeight="1" x14ac:dyDescent="0.2">
      <c r="A835" s="30">
        <v>2169</v>
      </c>
      <c r="B835" s="29" t="s">
        <v>29</v>
      </c>
      <c r="C835" s="24">
        <v>250000</v>
      </c>
      <c r="D835" s="24">
        <v>250000</v>
      </c>
      <c r="E835" s="527"/>
      <c r="F835" s="528"/>
      <c r="G835" s="120"/>
      <c r="H835" s="121"/>
      <c r="I835" s="121"/>
      <c r="J835" s="6">
        <v>1000</v>
      </c>
      <c r="K835" s="41"/>
      <c r="L835" s="41"/>
      <c r="M835" s="41"/>
      <c r="N835" s="41"/>
      <c r="O835" s="41"/>
      <c r="P835" s="41"/>
      <c r="Q835" s="41"/>
      <c r="R835" s="41"/>
      <c r="S835" s="41"/>
      <c r="T835" s="41"/>
      <c r="U835" s="41"/>
      <c r="V835" s="41"/>
      <c r="W835" s="41"/>
      <c r="X835" s="41"/>
      <c r="Y835" s="41"/>
      <c r="Z835" s="41"/>
      <c r="AA835" s="41"/>
      <c r="AB835" s="41"/>
      <c r="AC835" s="41"/>
      <c r="AD835" s="41"/>
      <c r="AE835" s="41"/>
      <c r="AF835" s="41"/>
      <c r="AG835" s="41"/>
      <c r="AH835" s="41"/>
      <c r="AI835" s="41"/>
      <c r="AJ835" s="41"/>
      <c r="AK835" s="41"/>
      <c r="AL835" s="41"/>
      <c r="AM835" s="41"/>
      <c r="AN835" s="41"/>
      <c r="AO835" s="41"/>
      <c r="AP835" s="41"/>
      <c r="AQ835" s="41"/>
      <c r="AR835" s="41"/>
      <c r="AS835" s="41"/>
      <c r="AT835" s="41"/>
      <c r="AU835" s="41"/>
      <c r="AV835" s="41"/>
      <c r="AW835" s="41"/>
      <c r="AX835" s="41"/>
      <c r="AY835" s="41"/>
      <c r="AZ835" s="41"/>
      <c r="BA835" s="41"/>
      <c r="BB835" s="41"/>
      <c r="BC835" s="41"/>
      <c r="BD835" s="41"/>
      <c r="BE835" s="41"/>
      <c r="BF835" s="41"/>
      <c r="BG835" s="41"/>
      <c r="BH835" s="41"/>
      <c r="BI835" s="41"/>
      <c r="BJ835" s="41"/>
      <c r="BK835" s="41"/>
      <c r="BL835" s="41"/>
      <c r="BM835" s="41"/>
      <c r="BN835" s="41"/>
      <c r="BO835" s="41"/>
      <c r="BP835" s="41"/>
      <c r="BQ835" s="41"/>
      <c r="BR835" s="41"/>
      <c r="BS835" s="41"/>
      <c r="BT835" s="41"/>
      <c r="BU835" s="41"/>
      <c r="BV835" s="41"/>
      <c r="BW835" s="41"/>
      <c r="BX835" s="41"/>
      <c r="BY835" s="41"/>
      <c r="BZ835" s="41"/>
      <c r="CA835" s="41"/>
      <c r="CB835" s="41"/>
      <c r="CC835" s="41"/>
      <c r="CD835" s="41"/>
      <c r="CE835" s="41"/>
      <c r="CF835" s="41"/>
      <c r="CG835" s="41"/>
      <c r="CH835" s="41"/>
      <c r="CI835" s="41"/>
      <c r="CJ835" s="41"/>
      <c r="CK835" s="41"/>
      <c r="CL835" s="41"/>
      <c r="CM835" s="41"/>
      <c r="CN835" s="41"/>
      <c r="CO835" s="41"/>
      <c r="CP835" s="41"/>
      <c r="CQ835" s="41"/>
      <c r="CR835" s="41"/>
      <c r="CS835" s="41"/>
      <c r="CT835" s="41"/>
      <c r="CU835" s="41"/>
      <c r="CV835" s="41"/>
      <c r="CW835" s="41"/>
      <c r="CX835" s="41"/>
      <c r="CY835" s="41"/>
      <c r="CZ835" s="41"/>
      <c r="DA835" s="41"/>
      <c r="DB835" s="41"/>
      <c r="DC835" s="41"/>
      <c r="DD835" s="41"/>
      <c r="DE835" s="41"/>
      <c r="DF835" s="41"/>
      <c r="DG835" s="41"/>
      <c r="DH835" s="41"/>
      <c r="DI835" s="41"/>
      <c r="DJ835" s="41"/>
      <c r="DK835" s="41"/>
      <c r="DL835" s="41"/>
      <c r="DM835" s="41"/>
      <c r="DN835" s="41"/>
      <c r="DO835" s="41"/>
      <c r="DP835" s="41"/>
      <c r="DQ835" s="41"/>
      <c r="DR835" s="41"/>
      <c r="DS835" s="41"/>
      <c r="DT835" s="41"/>
      <c r="DU835" s="41"/>
      <c r="DV835" s="41"/>
      <c r="DW835" s="41"/>
      <c r="DX835" s="41"/>
      <c r="DY835" s="41"/>
      <c r="DZ835" s="41"/>
      <c r="EA835" s="41"/>
      <c r="EB835" s="41"/>
      <c r="EC835" s="41"/>
      <c r="ED835" s="41"/>
      <c r="EE835" s="41"/>
      <c r="EF835" s="41"/>
      <c r="EG835" s="41"/>
      <c r="EH835" s="41"/>
      <c r="EI835" s="41"/>
      <c r="EJ835" s="41"/>
      <c r="EK835" s="41"/>
      <c r="EL835" s="41"/>
      <c r="EM835" s="41"/>
      <c r="EN835" s="41"/>
      <c r="EO835" s="41"/>
      <c r="EP835" s="41"/>
      <c r="EQ835" s="41"/>
      <c r="ER835" s="41"/>
      <c r="ES835" s="41"/>
      <c r="ET835" s="41"/>
      <c r="EU835" s="41"/>
      <c r="EV835" s="41"/>
      <c r="EW835" s="41"/>
      <c r="EX835" s="41"/>
      <c r="EY835" s="41"/>
      <c r="EZ835" s="41"/>
      <c r="FA835" s="41"/>
      <c r="FB835" s="41"/>
      <c r="FC835" s="41"/>
      <c r="FD835" s="41"/>
      <c r="FE835" s="41"/>
      <c r="FF835" s="41"/>
      <c r="FG835" s="41"/>
      <c r="FH835" s="41"/>
      <c r="FI835" s="41"/>
      <c r="FJ835" s="41"/>
      <c r="FK835" s="41"/>
      <c r="FL835" s="41"/>
      <c r="FM835" s="41"/>
      <c r="FN835" s="41"/>
      <c r="FO835" s="41"/>
      <c r="FP835" s="41"/>
      <c r="FQ835" s="41"/>
      <c r="FR835" s="41"/>
      <c r="FS835" s="41"/>
      <c r="FT835" s="41"/>
      <c r="FU835" s="41"/>
      <c r="FV835" s="41"/>
      <c r="FW835" s="41"/>
      <c r="FX835" s="41"/>
      <c r="FY835" s="41"/>
      <c r="FZ835" s="41"/>
      <c r="GA835" s="41"/>
      <c r="GB835" s="41"/>
      <c r="GC835" s="41"/>
      <c r="GD835" s="41"/>
      <c r="GE835" s="41"/>
      <c r="GF835" s="41"/>
      <c r="GG835" s="41"/>
      <c r="GH835" s="41"/>
      <c r="GI835" s="41"/>
      <c r="GJ835" s="41"/>
      <c r="GK835" s="41"/>
      <c r="GL835" s="41"/>
      <c r="GM835" s="41"/>
      <c r="GN835" s="41"/>
      <c r="GO835" s="41"/>
      <c r="GP835" s="41"/>
      <c r="GQ835" s="41"/>
      <c r="GR835" s="41"/>
      <c r="GS835" s="41"/>
      <c r="GT835" s="41"/>
      <c r="GU835" s="41"/>
      <c r="GV835" s="41"/>
      <c r="GW835" s="41"/>
      <c r="GX835" s="41"/>
      <c r="GY835" s="41"/>
      <c r="GZ835" s="41"/>
      <c r="HA835" s="41"/>
      <c r="HB835" s="41"/>
      <c r="HC835" s="41"/>
      <c r="HD835" s="41"/>
      <c r="HE835" s="41"/>
      <c r="HF835" s="41"/>
      <c r="HG835" s="41"/>
      <c r="HH835" s="41"/>
      <c r="HI835" s="41"/>
      <c r="HJ835" s="41"/>
      <c r="HK835" s="41"/>
      <c r="HL835" s="41"/>
      <c r="HM835" s="41"/>
      <c r="HN835" s="41"/>
      <c r="HO835" s="41"/>
      <c r="HP835" s="41"/>
      <c r="HQ835" s="41"/>
      <c r="HR835" s="41"/>
      <c r="HS835" s="41"/>
      <c r="HT835" s="41"/>
      <c r="HU835" s="41"/>
      <c r="HV835" s="41"/>
      <c r="HW835" s="41"/>
      <c r="HX835" s="41"/>
      <c r="HY835" s="41"/>
      <c r="HZ835" s="41"/>
      <c r="IA835" s="41"/>
      <c r="IB835" s="41"/>
      <c r="IC835" s="41"/>
      <c r="ID835" s="41"/>
      <c r="IE835" s="41"/>
      <c r="IF835" s="41"/>
      <c r="IG835" s="41"/>
      <c r="IH835" s="41"/>
      <c r="II835" s="41"/>
      <c r="IJ835" s="41"/>
      <c r="IK835" s="41"/>
      <c r="IL835" s="41"/>
    </row>
    <row r="836" spans="1:246" s="3" customFormat="1" ht="30" customHeight="1" x14ac:dyDescent="0.2">
      <c r="A836" s="30"/>
      <c r="B836" s="28" t="s">
        <v>28</v>
      </c>
      <c r="C836" s="9">
        <v>47000</v>
      </c>
      <c r="D836" s="9">
        <v>47000</v>
      </c>
      <c r="E836" s="719"/>
      <c r="F836" s="496"/>
      <c r="G836" s="126"/>
      <c r="H836" s="130"/>
      <c r="I836" s="130"/>
      <c r="J836" s="14">
        <v>0</v>
      </c>
      <c r="K836" s="41"/>
      <c r="L836" s="41"/>
      <c r="M836" s="41"/>
      <c r="N836" s="41"/>
      <c r="O836" s="41"/>
      <c r="P836" s="41"/>
      <c r="Q836" s="41"/>
      <c r="R836" s="41"/>
      <c r="S836" s="41"/>
      <c r="T836" s="41"/>
      <c r="U836" s="41"/>
      <c r="V836" s="41"/>
      <c r="W836" s="41"/>
      <c r="X836" s="41"/>
      <c r="Y836" s="41"/>
      <c r="Z836" s="41"/>
      <c r="AA836" s="41"/>
      <c r="AB836" s="41"/>
      <c r="AC836" s="41"/>
      <c r="AD836" s="41"/>
      <c r="AE836" s="41"/>
      <c r="AF836" s="41"/>
      <c r="AG836" s="41"/>
      <c r="AH836" s="41"/>
      <c r="AI836" s="41"/>
      <c r="AJ836" s="41"/>
      <c r="AK836" s="41"/>
      <c r="AL836" s="41"/>
      <c r="AM836" s="41"/>
      <c r="AN836" s="41"/>
      <c r="AO836" s="41"/>
      <c r="AP836" s="41"/>
      <c r="AQ836" s="41"/>
      <c r="AR836" s="41"/>
      <c r="AS836" s="41"/>
      <c r="AT836" s="41"/>
      <c r="AU836" s="41"/>
      <c r="AV836" s="41"/>
      <c r="AW836" s="41"/>
      <c r="AX836" s="41"/>
      <c r="AY836" s="41"/>
      <c r="AZ836" s="41"/>
      <c r="BA836" s="41"/>
      <c r="BB836" s="41"/>
      <c r="BC836" s="41"/>
      <c r="BD836" s="41"/>
      <c r="BE836" s="41"/>
      <c r="BF836" s="41"/>
      <c r="BG836" s="41"/>
      <c r="BH836" s="41"/>
      <c r="BI836" s="41"/>
      <c r="BJ836" s="41"/>
      <c r="BK836" s="41"/>
      <c r="BL836" s="41"/>
      <c r="BM836" s="41"/>
      <c r="BN836" s="41"/>
      <c r="BO836" s="41"/>
      <c r="BP836" s="41"/>
      <c r="BQ836" s="41"/>
      <c r="BR836" s="41"/>
      <c r="BS836" s="41"/>
      <c r="BT836" s="41"/>
      <c r="BU836" s="41"/>
      <c r="BV836" s="41"/>
      <c r="BW836" s="41"/>
      <c r="BX836" s="41"/>
      <c r="BY836" s="41"/>
      <c r="BZ836" s="41"/>
      <c r="CA836" s="41"/>
      <c r="CB836" s="41"/>
      <c r="CC836" s="41"/>
      <c r="CD836" s="41"/>
      <c r="CE836" s="41"/>
      <c r="CF836" s="41"/>
      <c r="CG836" s="41"/>
      <c r="CH836" s="41"/>
      <c r="CI836" s="41"/>
      <c r="CJ836" s="41"/>
      <c r="CK836" s="41"/>
      <c r="CL836" s="41"/>
      <c r="CM836" s="41"/>
      <c r="CN836" s="41"/>
      <c r="CO836" s="41"/>
      <c r="CP836" s="41"/>
      <c r="CQ836" s="41"/>
      <c r="CR836" s="41"/>
      <c r="CS836" s="41"/>
      <c r="CT836" s="41"/>
      <c r="CU836" s="41"/>
      <c r="CV836" s="41"/>
      <c r="CW836" s="41"/>
      <c r="CX836" s="41"/>
      <c r="CY836" s="41"/>
      <c r="CZ836" s="41"/>
      <c r="DA836" s="41"/>
      <c r="DB836" s="41"/>
      <c r="DC836" s="41"/>
      <c r="DD836" s="41"/>
      <c r="DE836" s="41"/>
      <c r="DF836" s="41"/>
      <c r="DG836" s="41"/>
      <c r="DH836" s="41"/>
      <c r="DI836" s="41"/>
      <c r="DJ836" s="41"/>
      <c r="DK836" s="41"/>
      <c r="DL836" s="41"/>
      <c r="DM836" s="41"/>
      <c r="DN836" s="41"/>
      <c r="DO836" s="41"/>
      <c r="DP836" s="41"/>
      <c r="DQ836" s="41"/>
      <c r="DR836" s="41"/>
      <c r="DS836" s="41"/>
      <c r="DT836" s="41"/>
      <c r="DU836" s="41"/>
      <c r="DV836" s="41"/>
      <c r="DW836" s="41"/>
      <c r="DX836" s="41"/>
      <c r="DY836" s="41"/>
      <c r="DZ836" s="41"/>
      <c r="EA836" s="41"/>
      <c r="EB836" s="41"/>
      <c r="EC836" s="41"/>
      <c r="ED836" s="41"/>
      <c r="EE836" s="41"/>
      <c r="EF836" s="41"/>
      <c r="EG836" s="41"/>
      <c r="EH836" s="41"/>
      <c r="EI836" s="41"/>
      <c r="EJ836" s="41"/>
      <c r="EK836" s="41"/>
      <c r="EL836" s="41"/>
      <c r="EM836" s="41"/>
      <c r="EN836" s="41"/>
      <c r="EO836" s="41"/>
      <c r="EP836" s="41"/>
      <c r="EQ836" s="41"/>
      <c r="ER836" s="41"/>
      <c r="ES836" s="41"/>
      <c r="ET836" s="41"/>
      <c r="EU836" s="41"/>
      <c r="EV836" s="41"/>
      <c r="EW836" s="41"/>
      <c r="EX836" s="41"/>
      <c r="EY836" s="41"/>
      <c r="EZ836" s="41"/>
      <c r="FA836" s="41"/>
      <c r="FB836" s="41"/>
      <c r="FC836" s="41"/>
      <c r="FD836" s="41"/>
      <c r="FE836" s="41"/>
      <c r="FF836" s="41"/>
      <c r="FG836" s="41"/>
      <c r="FH836" s="41"/>
      <c r="FI836" s="41"/>
      <c r="FJ836" s="41"/>
      <c r="FK836" s="41"/>
      <c r="FL836" s="41"/>
      <c r="FM836" s="41"/>
      <c r="FN836" s="41"/>
      <c r="FO836" s="41"/>
      <c r="FP836" s="41"/>
      <c r="FQ836" s="41"/>
      <c r="FR836" s="41"/>
      <c r="FS836" s="41"/>
      <c r="FT836" s="41"/>
      <c r="FU836" s="41"/>
      <c r="FV836" s="41"/>
      <c r="FW836" s="41"/>
      <c r="FX836" s="41"/>
      <c r="FY836" s="41"/>
      <c r="FZ836" s="41"/>
      <c r="GA836" s="41"/>
      <c r="GB836" s="41"/>
      <c r="GC836" s="41"/>
      <c r="GD836" s="41"/>
      <c r="GE836" s="41"/>
      <c r="GF836" s="41"/>
      <c r="GG836" s="41"/>
      <c r="GH836" s="41"/>
      <c r="GI836" s="41"/>
      <c r="GJ836" s="41"/>
      <c r="GK836" s="41"/>
      <c r="GL836" s="41"/>
      <c r="GM836" s="41"/>
      <c r="GN836" s="41"/>
      <c r="GO836" s="41"/>
      <c r="GP836" s="41"/>
      <c r="GQ836" s="41"/>
      <c r="GR836" s="41"/>
      <c r="GS836" s="41"/>
      <c r="GT836" s="41"/>
      <c r="GU836" s="41"/>
      <c r="GV836" s="41"/>
      <c r="GW836" s="41"/>
      <c r="GX836" s="41"/>
      <c r="GY836" s="41"/>
      <c r="GZ836" s="41"/>
      <c r="HA836" s="41"/>
      <c r="HB836" s="41"/>
      <c r="HC836" s="41"/>
      <c r="HD836" s="41"/>
      <c r="HE836" s="41"/>
      <c r="HF836" s="41"/>
      <c r="HG836" s="41"/>
      <c r="HH836" s="41"/>
      <c r="HI836" s="41"/>
      <c r="HJ836" s="41"/>
      <c r="HK836" s="41"/>
      <c r="HL836" s="41"/>
      <c r="HM836" s="41"/>
      <c r="HN836" s="41"/>
      <c r="HO836" s="41"/>
      <c r="HP836" s="41"/>
      <c r="HQ836" s="41"/>
      <c r="HR836" s="41"/>
      <c r="HS836" s="41"/>
      <c r="HT836" s="41"/>
      <c r="HU836" s="41"/>
      <c r="HV836" s="41"/>
      <c r="HW836" s="41"/>
      <c r="HX836" s="41"/>
      <c r="HY836" s="41"/>
      <c r="HZ836" s="41"/>
      <c r="IA836" s="41"/>
      <c r="IB836" s="41"/>
      <c r="IC836" s="41"/>
      <c r="ID836" s="41"/>
      <c r="IE836" s="41"/>
      <c r="IF836" s="41"/>
      <c r="IG836" s="41"/>
      <c r="IH836" s="41"/>
      <c r="II836" s="41"/>
      <c r="IJ836" s="41"/>
      <c r="IK836" s="41"/>
      <c r="IL836" s="41"/>
    </row>
    <row r="837" spans="1:246" s="3" customFormat="1" ht="30" customHeight="1" x14ac:dyDescent="0.2">
      <c r="A837" s="30"/>
      <c r="B837" s="28" t="s">
        <v>27</v>
      </c>
      <c r="C837" s="9">
        <v>200000</v>
      </c>
      <c r="D837" s="9">
        <v>200000</v>
      </c>
      <c r="E837" s="719"/>
      <c r="F837" s="496"/>
      <c r="G837" s="126"/>
      <c r="H837" s="130"/>
      <c r="I837" s="130"/>
      <c r="J837" s="6">
        <v>1000</v>
      </c>
      <c r="K837" s="41"/>
      <c r="L837" s="41"/>
      <c r="M837" s="41"/>
      <c r="N837" s="41"/>
      <c r="O837" s="41"/>
      <c r="P837" s="41"/>
      <c r="Q837" s="41"/>
      <c r="R837" s="41"/>
      <c r="S837" s="41"/>
      <c r="T837" s="41"/>
      <c r="U837" s="41"/>
      <c r="V837" s="41"/>
      <c r="W837" s="41"/>
      <c r="X837" s="41"/>
      <c r="Y837" s="41"/>
      <c r="Z837" s="41"/>
      <c r="AA837" s="41"/>
      <c r="AB837" s="41"/>
      <c r="AC837" s="41"/>
      <c r="AD837" s="41"/>
      <c r="AE837" s="41"/>
      <c r="AF837" s="41"/>
      <c r="AG837" s="41"/>
      <c r="AH837" s="41"/>
      <c r="AI837" s="41"/>
      <c r="AJ837" s="41"/>
      <c r="AK837" s="41"/>
      <c r="AL837" s="41"/>
      <c r="AM837" s="41"/>
      <c r="AN837" s="41"/>
      <c r="AO837" s="41"/>
      <c r="AP837" s="41"/>
      <c r="AQ837" s="41"/>
      <c r="AR837" s="41"/>
      <c r="AS837" s="41"/>
      <c r="AT837" s="41"/>
      <c r="AU837" s="41"/>
      <c r="AV837" s="41"/>
      <c r="AW837" s="41"/>
      <c r="AX837" s="41"/>
      <c r="AY837" s="41"/>
      <c r="AZ837" s="41"/>
      <c r="BA837" s="41"/>
      <c r="BB837" s="41"/>
      <c r="BC837" s="41"/>
      <c r="BD837" s="41"/>
      <c r="BE837" s="41"/>
      <c r="BF837" s="41"/>
      <c r="BG837" s="41"/>
      <c r="BH837" s="41"/>
      <c r="BI837" s="41"/>
      <c r="BJ837" s="41"/>
      <c r="BK837" s="41"/>
      <c r="BL837" s="41"/>
      <c r="BM837" s="41"/>
      <c r="BN837" s="41"/>
      <c r="BO837" s="41"/>
      <c r="BP837" s="41"/>
      <c r="BQ837" s="41"/>
      <c r="BR837" s="41"/>
      <c r="BS837" s="41"/>
      <c r="BT837" s="41"/>
      <c r="BU837" s="41"/>
      <c r="BV837" s="41"/>
      <c r="BW837" s="41"/>
      <c r="BX837" s="41"/>
      <c r="BY837" s="41"/>
      <c r="BZ837" s="41"/>
      <c r="CA837" s="41"/>
      <c r="CB837" s="41"/>
      <c r="CC837" s="41"/>
      <c r="CD837" s="41"/>
      <c r="CE837" s="41"/>
      <c r="CF837" s="41"/>
      <c r="CG837" s="41"/>
      <c r="CH837" s="41"/>
      <c r="CI837" s="41"/>
      <c r="CJ837" s="41"/>
      <c r="CK837" s="41"/>
      <c r="CL837" s="41"/>
      <c r="CM837" s="41"/>
      <c r="CN837" s="41"/>
      <c r="CO837" s="41"/>
      <c r="CP837" s="41"/>
      <c r="CQ837" s="41"/>
      <c r="CR837" s="41"/>
      <c r="CS837" s="41"/>
      <c r="CT837" s="41"/>
      <c r="CU837" s="41"/>
      <c r="CV837" s="41"/>
      <c r="CW837" s="41"/>
      <c r="CX837" s="41"/>
      <c r="CY837" s="41"/>
      <c r="CZ837" s="41"/>
      <c r="DA837" s="41"/>
      <c r="DB837" s="41"/>
      <c r="DC837" s="41"/>
      <c r="DD837" s="41"/>
      <c r="DE837" s="41"/>
      <c r="DF837" s="41"/>
      <c r="DG837" s="41"/>
      <c r="DH837" s="41"/>
      <c r="DI837" s="41"/>
      <c r="DJ837" s="41"/>
      <c r="DK837" s="41"/>
      <c r="DL837" s="41"/>
      <c r="DM837" s="41"/>
      <c r="DN837" s="41"/>
      <c r="DO837" s="41"/>
      <c r="DP837" s="41"/>
      <c r="DQ837" s="41"/>
      <c r="DR837" s="41"/>
      <c r="DS837" s="41"/>
      <c r="DT837" s="41"/>
      <c r="DU837" s="41"/>
      <c r="DV837" s="41"/>
      <c r="DW837" s="41"/>
      <c r="DX837" s="41"/>
      <c r="DY837" s="41"/>
      <c r="DZ837" s="41"/>
      <c r="EA837" s="41"/>
      <c r="EB837" s="41"/>
      <c r="EC837" s="41"/>
      <c r="ED837" s="41"/>
      <c r="EE837" s="41"/>
      <c r="EF837" s="41"/>
      <c r="EG837" s="41"/>
      <c r="EH837" s="41"/>
      <c r="EI837" s="41"/>
      <c r="EJ837" s="41"/>
      <c r="EK837" s="41"/>
      <c r="EL837" s="41"/>
      <c r="EM837" s="41"/>
      <c r="EN837" s="41"/>
      <c r="EO837" s="41"/>
      <c r="EP837" s="41"/>
      <c r="EQ837" s="41"/>
      <c r="ER837" s="41"/>
      <c r="ES837" s="41"/>
      <c r="ET837" s="41"/>
      <c r="EU837" s="41"/>
      <c r="EV837" s="41"/>
      <c r="EW837" s="41"/>
      <c r="EX837" s="41"/>
      <c r="EY837" s="41"/>
      <c r="EZ837" s="41"/>
      <c r="FA837" s="41"/>
      <c r="FB837" s="41"/>
      <c r="FC837" s="41"/>
      <c r="FD837" s="41"/>
      <c r="FE837" s="41"/>
      <c r="FF837" s="41"/>
      <c r="FG837" s="41"/>
      <c r="FH837" s="41"/>
      <c r="FI837" s="41"/>
      <c r="FJ837" s="41"/>
      <c r="FK837" s="41"/>
      <c r="FL837" s="41"/>
      <c r="FM837" s="41"/>
      <c r="FN837" s="41"/>
      <c r="FO837" s="41"/>
      <c r="FP837" s="41"/>
      <c r="FQ837" s="41"/>
      <c r="FR837" s="41"/>
      <c r="FS837" s="41"/>
      <c r="FT837" s="41"/>
      <c r="FU837" s="41"/>
      <c r="FV837" s="41"/>
      <c r="FW837" s="41"/>
      <c r="FX837" s="41"/>
      <c r="FY837" s="41"/>
      <c r="FZ837" s="41"/>
      <c r="GA837" s="41"/>
      <c r="GB837" s="41"/>
      <c r="GC837" s="41"/>
      <c r="GD837" s="41"/>
      <c r="GE837" s="41"/>
      <c r="GF837" s="41"/>
      <c r="GG837" s="41"/>
      <c r="GH837" s="41"/>
      <c r="GI837" s="41"/>
      <c r="GJ837" s="41"/>
      <c r="GK837" s="41"/>
      <c r="GL837" s="41"/>
      <c r="GM837" s="41"/>
      <c r="GN837" s="41"/>
      <c r="GO837" s="41"/>
      <c r="GP837" s="41"/>
      <c r="GQ837" s="41"/>
      <c r="GR837" s="41"/>
      <c r="GS837" s="41"/>
      <c r="GT837" s="41"/>
      <c r="GU837" s="41"/>
      <c r="GV837" s="41"/>
      <c r="GW837" s="41"/>
      <c r="GX837" s="41"/>
      <c r="GY837" s="41"/>
      <c r="GZ837" s="41"/>
      <c r="HA837" s="41"/>
      <c r="HB837" s="41"/>
      <c r="HC837" s="41"/>
      <c r="HD837" s="41"/>
      <c r="HE837" s="41"/>
      <c r="HF837" s="41"/>
      <c r="HG837" s="41"/>
      <c r="HH837" s="41"/>
      <c r="HI837" s="41"/>
      <c r="HJ837" s="41"/>
      <c r="HK837" s="41"/>
      <c r="HL837" s="41"/>
      <c r="HM837" s="41"/>
      <c r="HN837" s="41"/>
      <c r="HO837" s="41"/>
      <c r="HP837" s="41"/>
      <c r="HQ837" s="41"/>
      <c r="HR837" s="41"/>
      <c r="HS837" s="41"/>
      <c r="HT837" s="41"/>
      <c r="HU837" s="41"/>
      <c r="HV837" s="41"/>
      <c r="HW837" s="41"/>
      <c r="HX837" s="41"/>
      <c r="HY837" s="41"/>
      <c r="HZ837" s="41"/>
      <c r="IA837" s="41"/>
      <c r="IB837" s="41"/>
      <c r="IC837" s="41"/>
      <c r="ID837" s="41"/>
      <c r="IE837" s="41"/>
      <c r="IF837" s="41"/>
      <c r="IG837" s="41"/>
      <c r="IH837" s="41"/>
      <c r="II837" s="41"/>
      <c r="IJ837" s="41"/>
      <c r="IK837" s="41"/>
      <c r="IL837" s="41"/>
    </row>
    <row r="838" spans="1:246" s="3" customFormat="1" ht="30" customHeight="1" x14ac:dyDescent="0.2">
      <c r="A838" s="30"/>
      <c r="B838" s="28" t="s">
        <v>26</v>
      </c>
      <c r="C838" s="9">
        <v>3000</v>
      </c>
      <c r="D838" s="9">
        <v>3000</v>
      </c>
      <c r="E838" s="719"/>
      <c r="F838" s="496"/>
      <c r="G838" s="126"/>
      <c r="H838" s="130"/>
      <c r="I838" s="130"/>
      <c r="J838" s="14">
        <v>0</v>
      </c>
      <c r="K838" s="41"/>
      <c r="L838" s="41"/>
      <c r="M838" s="41"/>
      <c r="N838" s="41"/>
      <c r="O838" s="41"/>
      <c r="P838" s="41"/>
      <c r="Q838" s="41"/>
      <c r="R838" s="41"/>
      <c r="S838" s="41"/>
      <c r="T838" s="41"/>
      <c r="U838" s="41"/>
      <c r="V838" s="41"/>
      <c r="W838" s="41"/>
      <c r="X838" s="41"/>
      <c r="Y838" s="41"/>
      <c r="Z838" s="41"/>
      <c r="AA838" s="41"/>
      <c r="AB838" s="41"/>
      <c r="AC838" s="41"/>
      <c r="AD838" s="41"/>
      <c r="AE838" s="41"/>
      <c r="AF838" s="41"/>
      <c r="AG838" s="41"/>
      <c r="AH838" s="41"/>
      <c r="AI838" s="41"/>
      <c r="AJ838" s="41"/>
      <c r="AK838" s="41"/>
      <c r="AL838" s="41"/>
      <c r="AM838" s="41"/>
      <c r="AN838" s="41"/>
      <c r="AO838" s="41"/>
      <c r="AP838" s="41"/>
      <c r="AQ838" s="41"/>
      <c r="AR838" s="41"/>
      <c r="AS838" s="41"/>
      <c r="AT838" s="41"/>
      <c r="AU838" s="41"/>
      <c r="AV838" s="41"/>
      <c r="AW838" s="41"/>
      <c r="AX838" s="41"/>
      <c r="AY838" s="41"/>
      <c r="AZ838" s="41"/>
      <c r="BA838" s="41"/>
      <c r="BB838" s="41"/>
      <c r="BC838" s="41"/>
      <c r="BD838" s="41"/>
      <c r="BE838" s="41"/>
      <c r="BF838" s="41"/>
      <c r="BG838" s="41"/>
      <c r="BH838" s="41"/>
      <c r="BI838" s="41"/>
      <c r="BJ838" s="41"/>
      <c r="BK838" s="41"/>
      <c r="BL838" s="41"/>
      <c r="BM838" s="41"/>
      <c r="BN838" s="41"/>
      <c r="BO838" s="41"/>
      <c r="BP838" s="41"/>
      <c r="BQ838" s="41"/>
      <c r="BR838" s="41"/>
      <c r="BS838" s="41"/>
      <c r="BT838" s="41"/>
      <c r="BU838" s="41"/>
      <c r="BV838" s="41"/>
      <c r="BW838" s="41"/>
      <c r="BX838" s="41"/>
      <c r="BY838" s="41"/>
      <c r="BZ838" s="41"/>
      <c r="CA838" s="41"/>
      <c r="CB838" s="41"/>
      <c r="CC838" s="41"/>
      <c r="CD838" s="41"/>
      <c r="CE838" s="41"/>
      <c r="CF838" s="41"/>
      <c r="CG838" s="41"/>
      <c r="CH838" s="41"/>
      <c r="CI838" s="41"/>
      <c r="CJ838" s="41"/>
      <c r="CK838" s="41"/>
      <c r="CL838" s="41"/>
      <c r="CM838" s="41"/>
      <c r="CN838" s="41"/>
      <c r="CO838" s="41"/>
      <c r="CP838" s="41"/>
      <c r="CQ838" s="41"/>
      <c r="CR838" s="41"/>
      <c r="CS838" s="41"/>
      <c r="CT838" s="41"/>
      <c r="CU838" s="41"/>
      <c r="CV838" s="41"/>
      <c r="CW838" s="41"/>
      <c r="CX838" s="41"/>
      <c r="CY838" s="41"/>
      <c r="CZ838" s="41"/>
      <c r="DA838" s="41"/>
      <c r="DB838" s="41"/>
      <c r="DC838" s="41"/>
      <c r="DD838" s="41"/>
      <c r="DE838" s="41"/>
      <c r="DF838" s="41"/>
      <c r="DG838" s="41"/>
      <c r="DH838" s="41"/>
      <c r="DI838" s="41"/>
      <c r="DJ838" s="41"/>
      <c r="DK838" s="41"/>
      <c r="DL838" s="41"/>
      <c r="DM838" s="41"/>
      <c r="DN838" s="41"/>
      <c r="DO838" s="41"/>
      <c r="DP838" s="41"/>
      <c r="DQ838" s="41"/>
      <c r="DR838" s="41"/>
      <c r="DS838" s="41"/>
      <c r="DT838" s="41"/>
      <c r="DU838" s="41"/>
      <c r="DV838" s="41"/>
      <c r="DW838" s="41"/>
      <c r="DX838" s="41"/>
      <c r="DY838" s="41"/>
      <c r="DZ838" s="41"/>
      <c r="EA838" s="41"/>
      <c r="EB838" s="41"/>
      <c r="EC838" s="41"/>
      <c r="ED838" s="41"/>
      <c r="EE838" s="41"/>
      <c r="EF838" s="41"/>
      <c r="EG838" s="41"/>
      <c r="EH838" s="41"/>
      <c r="EI838" s="41"/>
      <c r="EJ838" s="41"/>
      <c r="EK838" s="41"/>
      <c r="EL838" s="41"/>
      <c r="EM838" s="41"/>
      <c r="EN838" s="41"/>
      <c r="EO838" s="41"/>
      <c r="EP838" s="41"/>
      <c r="EQ838" s="41"/>
      <c r="ER838" s="41"/>
      <c r="ES838" s="41"/>
      <c r="ET838" s="41"/>
      <c r="EU838" s="41"/>
      <c r="EV838" s="41"/>
      <c r="EW838" s="41"/>
      <c r="EX838" s="41"/>
      <c r="EY838" s="41"/>
      <c r="EZ838" s="41"/>
      <c r="FA838" s="41"/>
      <c r="FB838" s="41"/>
      <c r="FC838" s="41"/>
      <c r="FD838" s="41"/>
      <c r="FE838" s="41"/>
      <c r="FF838" s="41"/>
      <c r="FG838" s="41"/>
      <c r="FH838" s="41"/>
      <c r="FI838" s="41"/>
      <c r="FJ838" s="41"/>
      <c r="FK838" s="41"/>
      <c r="FL838" s="41"/>
      <c r="FM838" s="41"/>
      <c r="FN838" s="41"/>
      <c r="FO838" s="41"/>
      <c r="FP838" s="41"/>
      <c r="FQ838" s="41"/>
      <c r="FR838" s="41"/>
      <c r="FS838" s="41"/>
      <c r="FT838" s="41"/>
      <c r="FU838" s="41"/>
      <c r="FV838" s="41"/>
      <c r="FW838" s="41"/>
      <c r="FX838" s="41"/>
      <c r="FY838" s="41"/>
      <c r="FZ838" s="41"/>
      <c r="GA838" s="41"/>
      <c r="GB838" s="41"/>
      <c r="GC838" s="41"/>
      <c r="GD838" s="41"/>
      <c r="GE838" s="41"/>
      <c r="GF838" s="41"/>
      <c r="GG838" s="41"/>
      <c r="GH838" s="41"/>
      <c r="GI838" s="41"/>
      <c r="GJ838" s="41"/>
      <c r="GK838" s="41"/>
      <c r="GL838" s="41"/>
      <c r="GM838" s="41"/>
      <c r="GN838" s="41"/>
      <c r="GO838" s="41"/>
      <c r="GP838" s="41"/>
      <c r="GQ838" s="41"/>
      <c r="GR838" s="41"/>
      <c r="GS838" s="41"/>
      <c r="GT838" s="41"/>
      <c r="GU838" s="41"/>
      <c r="GV838" s="41"/>
      <c r="GW838" s="41"/>
      <c r="GX838" s="41"/>
      <c r="GY838" s="41"/>
      <c r="GZ838" s="41"/>
      <c r="HA838" s="41"/>
      <c r="HB838" s="41"/>
      <c r="HC838" s="41"/>
      <c r="HD838" s="41"/>
      <c r="HE838" s="41"/>
      <c r="HF838" s="41"/>
      <c r="HG838" s="41"/>
      <c r="HH838" s="41"/>
      <c r="HI838" s="41"/>
      <c r="HJ838" s="41"/>
      <c r="HK838" s="41"/>
      <c r="HL838" s="41"/>
      <c r="HM838" s="41"/>
      <c r="HN838" s="41"/>
      <c r="HO838" s="41"/>
      <c r="HP838" s="41"/>
      <c r="HQ838" s="41"/>
      <c r="HR838" s="41"/>
      <c r="HS838" s="41"/>
      <c r="HT838" s="41"/>
      <c r="HU838" s="41"/>
      <c r="HV838" s="41"/>
      <c r="HW838" s="41"/>
      <c r="HX838" s="41"/>
      <c r="HY838" s="41"/>
      <c r="HZ838" s="41"/>
      <c r="IA838" s="41"/>
      <c r="IB838" s="41"/>
      <c r="IC838" s="41"/>
      <c r="ID838" s="41"/>
      <c r="IE838" s="41"/>
      <c r="IF838" s="41"/>
      <c r="IG838" s="41"/>
      <c r="IH838" s="41"/>
      <c r="II838" s="41"/>
      <c r="IJ838" s="41"/>
      <c r="IK838" s="41"/>
      <c r="IL838" s="41"/>
    </row>
    <row r="839" spans="1:246" s="3" customFormat="1" ht="30" customHeight="1" x14ac:dyDescent="0.2">
      <c r="A839" s="20">
        <v>3635</v>
      </c>
      <c r="B839" s="19" t="s">
        <v>25</v>
      </c>
      <c r="C839" s="18">
        <f>SUM(C840+C841)</f>
        <v>350000</v>
      </c>
      <c r="D839" s="18">
        <f>SUM(D840+D841)</f>
        <v>300000</v>
      </c>
      <c r="E839" s="715"/>
      <c r="F839" s="206"/>
      <c r="G839" s="120"/>
      <c r="H839" s="121"/>
      <c r="I839" s="121"/>
      <c r="J839" s="14">
        <v>117750</v>
      </c>
      <c r="K839" s="41"/>
      <c r="L839" s="41"/>
      <c r="M839" s="41"/>
      <c r="N839" s="41"/>
      <c r="O839" s="41"/>
      <c r="P839" s="41"/>
      <c r="Q839" s="41"/>
      <c r="R839" s="41"/>
      <c r="S839" s="41"/>
      <c r="T839" s="41"/>
      <c r="U839" s="41"/>
      <c r="V839" s="41"/>
      <c r="W839" s="41"/>
      <c r="X839" s="41"/>
      <c r="Y839" s="41"/>
      <c r="Z839" s="41"/>
      <c r="AA839" s="41"/>
      <c r="AB839" s="41"/>
      <c r="AC839" s="41"/>
      <c r="AD839" s="41"/>
      <c r="AE839" s="41"/>
      <c r="AF839" s="41"/>
      <c r="AG839" s="41"/>
      <c r="AH839" s="41"/>
      <c r="AI839" s="41"/>
      <c r="AJ839" s="41"/>
      <c r="AK839" s="41"/>
      <c r="AL839" s="41"/>
      <c r="AM839" s="41"/>
      <c r="AN839" s="41"/>
      <c r="AO839" s="41"/>
      <c r="AP839" s="41"/>
      <c r="AQ839" s="41"/>
      <c r="AR839" s="41"/>
      <c r="AS839" s="41"/>
      <c r="AT839" s="41"/>
      <c r="AU839" s="41"/>
      <c r="AV839" s="41"/>
      <c r="AW839" s="41"/>
      <c r="AX839" s="41"/>
      <c r="AY839" s="41"/>
      <c r="AZ839" s="41"/>
      <c r="BA839" s="41"/>
      <c r="BB839" s="41"/>
      <c r="BC839" s="41"/>
      <c r="BD839" s="41"/>
      <c r="BE839" s="41"/>
      <c r="BF839" s="41"/>
      <c r="BG839" s="41"/>
      <c r="BH839" s="41"/>
      <c r="BI839" s="41"/>
      <c r="BJ839" s="41"/>
      <c r="BK839" s="41"/>
      <c r="BL839" s="41"/>
      <c r="BM839" s="41"/>
      <c r="BN839" s="41"/>
      <c r="BO839" s="41"/>
      <c r="BP839" s="41"/>
      <c r="BQ839" s="41"/>
      <c r="BR839" s="41"/>
      <c r="BS839" s="41"/>
      <c r="BT839" s="41"/>
      <c r="BU839" s="41"/>
      <c r="BV839" s="41"/>
      <c r="BW839" s="41"/>
      <c r="BX839" s="41"/>
      <c r="BY839" s="41"/>
      <c r="BZ839" s="41"/>
      <c r="CA839" s="41"/>
      <c r="CB839" s="41"/>
      <c r="CC839" s="41"/>
      <c r="CD839" s="41"/>
      <c r="CE839" s="41"/>
      <c r="CF839" s="41"/>
      <c r="CG839" s="41"/>
      <c r="CH839" s="41"/>
      <c r="CI839" s="41"/>
      <c r="CJ839" s="41"/>
      <c r="CK839" s="41"/>
      <c r="CL839" s="41"/>
      <c r="CM839" s="41"/>
      <c r="CN839" s="41"/>
      <c r="CO839" s="41"/>
      <c r="CP839" s="41"/>
      <c r="CQ839" s="41"/>
      <c r="CR839" s="41"/>
      <c r="CS839" s="41"/>
      <c r="CT839" s="41"/>
      <c r="CU839" s="41"/>
      <c r="CV839" s="41"/>
      <c r="CW839" s="41"/>
      <c r="CX839" s="41"/>
      <c r="CY839" s="41"/>
      <c r="CZ839" s="41"/>
      <c r="DA839" s="41"/>
      <c r="DB839" s="41"/>
      <c r="DC839" s="41"/>
      <c r="DD839" s="41"/>
      <c r="DE839" s="41"/>
      <c r="DF839" s="41"/>
      <c r="DG839" s="41"/>
      <c r="DH839" s="41"/>
      <c r="DI839" s="41"/>
      <c r="DJ839" s="41"/>
      <c r="DK839" s="41"/>
      <c r="DL839" s="41"/>
      <c r="DM839" s="41"/>
      <c r="DN839" s="41"/>
      <c r="DO839" s="41"/>
      <c r="DP839" s="41"/>
      <c r="DQ839" s="41"/>
      <c r="DR839" s="41"/>
      <c r="DS839" s="41"/>
      <c r="DT839" s="41"/>
      <c r="DU839" s="41"/>
      <c r="DV839" s="41"/>
      <c r="DW839" s="41"/>
      <c r="DX839" s="41"/>
      <c r="DY839" s="41"/>
      <c r="DZ839" s="41"/>
      <c r="EA839" s="41"/>
      <c r="EB839" s="41"/>
      <c r="EC839" s="41"/>
      <c r="ED839" s="41"/>
      <c r="EE839" s="41"/>
      <c r="EF839" s="41"/>
      <c r="EG839" s="41"/>
      <c r="EH839" s="41"/>
      <c r="EI839" s="41"/>
      <c r="EJ839" s="41"/>
      <c r="EK839" s="41"/>
      <c r="EL839" s="41"/>
      <c r="EM839" s="41"/>
      <c r="EN839" s="41"/>
      <c r="EO839" s="41"/>
      <c r="EP839" s="41"/>
      <c r="EQ839" s="41"/>
      <c r="ER839" s="41"/>
      <c r="ES839" s="41"/>
      <c r="ET839" s="41"/>
      <c r="EU839" s="41"/>
      <c r="EV839" s="41"/>
      <c r="EW839" s="41"/>
      <c r="EX839" s="41"/>
      <c r="EY839" s="41"/>
      <c r="EZ839" s="41"/>
      <c r="FA839" s="41"/>
      <c r="FB839" s="41"/>
      <c r="FC839" s="41"/>
      <c r="FD839" s="41"/>
      <c r="FE839" s="41"/>
      <c r="FF839" s="41"/>
      <c r="FG839" s="41"/>
      <c r="FH839" s="41"/>
      <c r="FI839" s="41"/>
      <c r="FJ839" s="41"/>
      <c r="FK839" s="41"/>
      <c r="FL839" s="41"/>
      <c r="FM839" s="41"/>
      <c r="FN839" s="41"/>
      <c r="FO839" s="41"/>
      <c r="FP839" s="41"/>
      <c r="FQ839" s="41"/>
      <c r="FR839" s="41"/>
      <c r="FS839" s="41"/>
      <c r="FT839" s="41"/>
      <c r="FU839" s="41"/>
      <c r="FV839" s="41"/>
      <c r="FW839" s="41"/>
      <c r="FX839" s="41"/>
      <c r="FY839" s="41"/>
      <c r="FZ839" s="41"/>
      <c r="GA839" s="41"/>
      <c r="GB839" s="41"/>
      <c r="GC839" s="41"/>
      <c r="GD839" s="41"/>
      <c r="GE839" s="41"/>
      <c r="GF839" s="41"/>
      <c r="GG839" s="41"/>
      <c r="GH839" s="41"/>
      <c r="GI839" s="41"/>
      <c r="GJ839" s="41"/>
      <c r="GK839" s="41"/>
      <c r="GL839" s="41"/>
      <c r="GM839" s="41"/>
      <c r="GN839" s="41"/>
      <c r="GO839" s="41"/>
      <c r="GP839" s="41"/>
      <c r="GQ839" s="41"/>
      <c r="GR839" s="41"/>
      <c r="GS839" s="41"/>
      <c r="GT839" s="41"/>
      <c r="GU839" s="41"/>
      <c r="GV839" s="41"/>
      <c r="GW839" s="41"/>
      <c r="GX839" s="41"/>
      <c r="GY839" s="41"/>
      <c r="GZ839" s="41"/>
      <c r="HA839" s="41"/>
      <c r="HB839" s="41"/>
      <c r="HC839" s="41"/>
      <c r="HD839" s="41"/>
      <c r="HE839" s="41"/>
      <c r="HF839" s="41"/>
      <c r="HG839" s="41"/>
      <c r="HH839" s="41"/>
      <c r="HI839" s="41"/>
      <c r="HJ839" s="41"/>
      <c r="HK839" s="41"/>
      <c r="HL839" s="41"/>
      <c r="HM839" s="41"/>
      <c r="HN839" s="41"/>
      <c r="HO839" s="41"/>
      <c r="HP839" s="41"/>
      <c r="HQ839" s="41"/>
      <c r="HR839" s="41"/>
      <c r="HS839" s="41"/>
      <c r="HT839" s="41"/>
      <c r="HU839" s="41"/>
      <c r="HV839" s="41"/>
      <c r="HW839" s="41"/>
      <c r="HX839" s="41"/>
      <c r="HY839" s="41"/>
      <c r="HZ839" s="41"/>
      <c r="IA839" s="41"/>
      <c r="IB839" s="41"/>
      <c r="IC839" s="41"/>
      <c r="ID839" s="41"/>
      <c r="IE839" s="41"/>
      <c r="IF839" s="41"/>
      <c r="IG839" s="41"/>
      <c r="IH839" s="41"/>
      <c r="II839" s="41"/>
      <c r="IJ839" s="41"/>
      <c r="IK839" s="41"/>
      <c r="IL839" s="41"/>
    </row>
    <row r="840" spans="1:246" s="3" customFormat="1" ht="30" customHeight="1" x14ac:dyDescent="0.2">
      <c r="A840" s="16"/>
      <c r="B840" s="15" t="s">
        <v>24</v>
      </c>
      <c r="C840" s="9">
        <v>50000</v>
      </c>
      <c r="D840" s="9">
        <f>50000</f>
        <v>50000</v>
      </c>
      <c r="E840" s="719"/>
      <c r="F840" s="496"/>
      <c r="G840" s="126"/>
      <c r="H840" s="130"/>
      <c r="I840" s="130"/>
      <c r="J840" s="6">
        <v>0</v>
      </c>
      <c r="K840" s="41"/>
      <c r="L840" s="41"/>
      <c r="M840" s="41"/>
      <c r="N840" s="41"/>
      <c r="O840" s="41"/>
      <c r="P840" s="41"/>
      <c r="Q840" s="41"/>
      <c r="R840" s="41"/>
      <c r="S840" s="41"/>
      <c r="T840" s="41"/>
      <c r="U840" s="41"/>
      <c r="V840" s="41"/>
      <c r="W840" s="41"/>
      <c r="X840" s="41"/>
      <c r="Y840" s="41"/>
      <c r="Z840" s="41"/>
      <c r="AA840" s="41"/>
      <c r="AB840" s="41"/>
      <c r="AC840" s="41"/>
      <c r="AD840" s="41"/>
      <c r="AE840" s="41"/>
      <c r="AF840" s="41"/>
      <c r="AG840" s="41"/>
      <c r="AH840" s="41"/>
      <c r="AI840" s="41"/>
      <c r="AJ840" s="41"/>
      <c r="AK840" s="41"/>
      <c r="AL840" s="41"/>
      <c r="AM840" s="41"/>
      <c r="AN840" s="41"/>
      <c r="AO840" s="41"/>
      <c r="AP840" s="41"/>
      <c r="AQ840" s="41"/>
      <c r="AR840" s="41"/>
      <c r="AS840" s="41"/>
      <c r="AT840" s="41"/>
      <c r="AU840" s="41"/>
      <c r="AV840" s="41"/>
      <c r="AW840" s="41"/>
      <c r="AX840" s="41"/>
      <c r="AY840" s="41"/>
      <c r="AZ840" s="41"/>
      <c r="BA840" s="41"/>
      <c r="BB840" s="41"/>
      <c r="BC840" s="41"/>
      <c r="BD840" s="41"/>
      <c r="BE840" s="41"/>
      <c r="BF840" s="41"/>
      <c r="BG840" s="41"/>
      <c r="BH840" s="41"/>
      <c r="BI840" s="41"/>
      <c r="BJ840" s="41"/>
      <c r="BK840" s="41"/>
      <c r="BL840" s="41"/>
      <c r="BM840" s="41"/>
      <c r="BN840" s="41"/>
      <c r="BO840" s="41"/>
      <c r="BP840" s="41"/>
      <c r="BQ840" s="41"/>
      <c r="BR840" s="41"/>
      <c r="BS840" s="41"/>
      <c r="BT840" s="41"/>
      <c r="BU840" s="41"/>
      <c r="BV840" s="41"/>
      <c r="BW840" s="41"/>
      <c r="BX840" s="41"/>
      <c r="BY840" s="41"/>
      <c r="BZ840" s="41"/>
      <c r="CA840" s="41"/>
      <c r="CB840" s="41"/>
      <c r="CC840" s="41"/>
      <c r="CD840" s="41"/>
      <c r="CE840" s="41"/>
      <c r="CF840" s="41"/>
      <c r="CG840" s="41"/>
      <c r="CH840" s="41"/>
      <c r="CI840" s="41"/>
      <c r="CJ840" s="41"/>
      <c r="CK840" s="41"/>
      <c r="CL840" s="41"/>
      <c r="CM840" s="41"/>
      <c r="CN840" s="41"/>
      <c r="CO840" s="41"/>
      <c r="CP840" s="41"/>
      <c r="CQ840" s="41"/>
      <c r="CR840" s="41"/>
      <c r="CS840" s="41"/>
      <c r="CT840" s="41"/>
      <c r="CU840" s="41"/>
      <c r="CV840" s="41"/>
      <c r="CW840" s="41"/>
      <c r="CX840" s="41"/>
      <c r="CY840" s="41"/>
      <c r="CZ840" s="41"/>
      <c r="DA840" s="41"/>
      <c r="DB840" s="41"/>
      <c r="DC840" s="41"/>
      <c r="DD840" s="41"/>
      <c r="DE840" s="41"/>
      <c r="DF840" s="41"/>
      <c r="DG840" s="41"/>
      <c r="DH840" s="41"/>
      <c r="DI840" s="41"/>
      <c r="DJ840" s="41"/>
      <c r="DK840" s="41"/>
      <c r="DL840" s="41"/>
      <c r="DM840" s="41"/>
      <c r="DN840" s="41"/>
      <c r="DO840" s="41"/>
      <c r="DP840" s="41"/>
      <c r="DQ840" s="41"/>
      <c r="DR840" s="41"/>
      <c r="DS840" s="41"/>
      <c r="DT840" s="41"/>
      <c r="DU840" s="41"/>
      <c r="DV840" s="41"/>
      <c r="DW840" s="41"/>
      <c r="DX840" s="41"/>
      <c r="DY840" s="41"/>
      <c r="DZ840" s="41"/>
      <c r="EA840" s="41"/>
      <c r="EB840" s="41"/>
      <c r="EC840" s="41"/>
      <c r="ED840" s="41"/>
      <c r="EE840" s="41"/>
      <c r="EF840" s="41"/>
      <c r="EG840" s="41"/>
      <c r="EH840" s="41"/>
      <c r="EI840" s="41"/>
      <c r="EJ840" s="41"/>
      <c r="EK840" s="41"/>
      <c r="EL840" s="41"/>
      <c r="EM840" s="41"/>
      <c r="EN840" s="41"/>
      <c r="EO840" s="41"/>
      <c r="EP840" s="41"/>
      <c r="EQ840" s="41"/>
      <c r="ER840" s="41"/>
      <c r="ES840" s="41"/>
      <c r="ET840" s="41"/>
      <c r="EU840" s="41"/>
      <c r="EV840" s="41"/>
      <c r="EW840" s="41"/>
      <c r="EX840" s="41"/>
      <c r="EY840" s="41"/>
      <c r="EZ840" s="41"/>
      <c r="FA840" s="41"/>
      <c r="FB840" s="41"/>
      <c r="FC840" s="41"/>
      <c r="FD840" s="41"/>
      <c r="FE840" s="41"/>
      <c r="FF840" s="41"/>
      <c r="FG840" s="41"/>
      <c r="FH840" s="41"/>
      <c r="FI840" s="41"/>
      <c r="FJ840" s="41"/>
      <c r="FK840" s="41"/>
      <c r="FL840" s="41"/>
      <c r="FM840" s="41"/>
      <c r="FN840" s="41"/>
      <c r="FO840" s="41"/>
      <c r="FP840" s="41"/>
      <c r="FQ840" s="41"/>
      <c r="FR840" s="41"/>
      <c r="FS840" s="41"/>
      <c r="FT840" s="41"/>
      <c r="FU840" s="41"/>
      <c r="FV840" s="41"/>
      <c r="FW840" s="41"/>
      <c r="FX840" s="41"/>
      <c r="FY840" s="41"/>
      <c r="FZ840" s="41"/>
      <c r="GA840" s="41"/>
      <c r="GB840" s="41"/>
      <c r="GC840" s="41"/>
      <c r="GD840" s="41"/>
      <c r="GE840" s="41"/>
      <c r="GF840" s="41"/>
      <c r="GG840" s="41"/>
      <c r="GH840" s="41"/>
      <c r="GI840" s="41"/>
      <c r="GJ840" s="41"/>
      <c r="GK840" s="41"/>
      <c r="GL840" s="41"/>
      <c r="GM840" s="41"/>
      <c r="GN840" s="41"/>
      <c r="GO840" s="41"/>
      <c r="GP840" s="41"/>
      <c r="GQ840" s="41"/>
      <c r="GR840" s="41"/>
      <c r="GS840" s="41"/>
      <c r="GT840" s="41"/>
      <c r="GU840" s="41"/>
      <c r="GV840" s="41"/>
      <c r="GW840" s="41"/>
      <c r="GX840" s="41"/>
      <c r="GY840" s="41"/>
      <c r="GZ840" s="41"/>
      <c r="HA840" s="41"/>
      <c r="HB840" s="41"/>
      <c r="HC840" s="41"/>
      <c r="HD840" s="41"/>
      <c r="HE840" s="41"/>
      <c r="HF840" s="41"/>
      <c r="HG840" s="41"/>
      <c r="HH840" s="41"/>
      <c r="HI840" s="41"/>
      <c r="HJ840" s="41"/>
      <c r="HK840" s="41"/>
      <c r="HL840" s="41"/>
      <c r="HM840" s="41"/>
      <c r="HN840" s="41"/>
      <c r="HO840" s="41"/>
      <c r="HP840" s="41"/>
      <c r="HQ840" s="41"/>
      <c r="HR840" s="41"/>
      <c r="HS840" s="41"/>
      <c r="HT840" s="41"/>
      <c r="HU840" s="41"/>
      <c r="HV840" s="41"/>
      <c r="HW840" s="41"/>
      <c r="HX840" s="41"/>
      <c r="HY840" s="41"/>
      <c r="HZ840" s="41"/>
      <c r="IA840" s="41"/>
      <c r="IB840" s="41"/>
      <c r="IC840" s="41"/>
      <c r="ID840" s="41"/>
      <c r="IE840" s="41"/>
      <c r="IF840" s="41"/>
      <c r="IG840" s="41"/>
      <c r="IH840" s="41"/>
      <c r="II840" s="41"/>
      <c r="IJ840" s="41"/>
      <c r="IK840" s="41"/>
      <c r="IL840" s="41"/>
    </row>
    <row r="841" spans="1:246" s="3" customFormat="1" ht="30" customHeight="1" thickBot="1" x14ac:dyDescent="0.25">
      <c r="A841" s="16"/>
      <c r="B841" s="15" t="s">
        <v>23</v>
      </c>
      <c r="C841" s="9">
        <v>300000</v>
      </c>
      <c r="D841" s="9">
        <f>300000-50000</f>
        <v>250000</v>
      </c>
      <c r="E841" s="719"/>
      <c r="F841" s="496"/>
      <c r="G841" s="126"/>
      <c r="H841" s="130"/>
      <c r="I841" s="130"/>
      <c r="J841" s="6">
        <v>0</v>
      </c>
      <c r="K841" s="41"/>
      <c r="L841" s="41"/>
      <c r="M841" s="41"/>
      <c r="N841" s="41"/>
      <c r="O841" s="41"/>
      <c r="P841" s="41"/>
      <c r="Q841" s="41"/>
      <c r="R841" s="41"/>
      <c r="S841" s="41"/>
      <c r="T841" s="41"/>
      <c r="U841" s="41"/>
      <c r="V841" s="41"/>
      <c r="W841" s="41"/>
      <c r="X841" s="41"/>
      <c r="Y841" s="41"/>
      <c r="Z841" s="41"/>
      <c r="AA841" s="41"/>
      <c r="AB841" s="41"/>
      <c r="AC841" s="41"/>
      <c r="AD841" s="41"/>
      <c r="AE841" s="41"/>
      <c r="AF841" s="41"/>
      <c r="AG841" s="41"/>
      <c r="AH841" s="41"/>
      <c r="AI841" s="41"/>
      <c r="AJ841" s="41"/>
      <c r="AK841" s="41"/>
      <c r="AL841" s="41"/>
      <c r="AM841" s="41"/>
      <c r="AN841" s="41"/>
      <c r="AO841" s="41"/>
      <c r="AP841" s="41"/>
      <c r="AQ841" s="41"/>
      <c r="AR841" s="41"/>
      <c r="AS841" s="41"/>
      <c r="AT841" s="41"/>
      <c r="AU841" s="41"/>
      <c r="AV841" s="41"/>
      <c r="AW841" s="41"/>
      <c r="AX841" s="41"/>
      <c r="AY841" s="41"/>
      <c r="AZ841" s="41"/>
      <c r="BA841" s="41"/>
      <c r="BB841" s="41"/>
      <c r="BC841" s="41"/>
      <c r="BD841" s="41"/>
      <c r="BE841" s="41"/>
      <c r="BF841" s="41"/>
      <c r="BG841" s="41"/>
      <c r="BH841" s="41"/>
      <c r="BI841" s="41"/>
      <c r="BJ841" s="41"/>
      <c r="BK841" s="41"/>
      <c r="BL841" s="41"/>
      <c r="BM841" s="41"/>
      <c r="BN841" s="41"/>
      <c r="BO841" s="41"/>
      <c r="BP841" s="41"/>
      <c r="BQ841" s="41"/>
      <c r="BR841" s="41"/>
      <c r="BS841" s="41"/>
      <c r="BT841" s="41"/>
      <c r="BU841" s="41"/>
      <c r="BV841" s="41"/>
      <c r="BW841" s="41"/>
      <c r="BX841" s="41"/>
      <c r="BY841" s="41"/>
      <c r="BZ841" s="41"/>
      <c r="CA841" s="41"/>
      <c r="CB841" s="41"/>
      <c r="CC841" s="41"/>
      <c r="CD841" s="41"/>
      <c r="CE841" s="41"/>
      <c r="CF841" s="41"/>
      <c r="CG841" s="41"/>
      <c r="CH841" s="41"/>
      <c r="CI841" s="41"/>
      <c r="CJ841" s="41"/>
      <c r="CK841" s="41"/>
      <c r="CL841" s="41"/>
      <c r="CM841" s="41"/>
      <c r="CN841" s="41"/>
      <c r="CO841" s="41"/>
      <c r="CP841" s="41"/>
      <c r="CQ841" s="41"/>
      <c r="CR841" s="41"/>
      <c r="CS841" s="41"/>
      <c r="CT841" s="41"/>
      <c r="CU841" s="41"/>
      <c r="CV841" s="41"/>
      <c r="CW841" s="41"/>
      <c r="CX841" s="41"/>
      <c r="CY841" s="41"/>
      <c r="CZ841" s="41"/>
      <c r="DA841" s="41"/>
      <c r="DB841" s="41"/>
      <c r="DC841" s="41"/>
      <c r="DD841" s="41"/>
      <c r="DE841" s="41"/>
      <c r="DF841" s="41"/>
      <c r="DG841" s="41"/>
      <c r="DH841" s="41"/>
      <c r="DI841" s="41"/>
      <c r="DJ841" s="41"/>
      <c r="DK841" s="41"/>
      <c r="DL841" s="41"/>
      <c r="DM841" s="41"/>
      <c r="DN841" s="41"/>
      <c r="DO841" s="41"/>
      <c r="DP841" s="41"/>
      <c r="DQ841" s="41"/>
      <c r="DR841" s="41"/>
      <c r="DS841" s="41"/>
      <c r="DT841" s="41"/>
      <c r="DU841" s="41"/>
      <c r="DV841" s="41"/>
      <c r="DW841" s="41"/>
      <c r="DX841" s="41"/>
      <c r="DY841" s="41"/>
      <c r="DZ841" s="41"/>
      <c r="EA841" s="41"/>
      <c r="EB841" s="41"/>
      <c r="EC841" s="41"/>
      <c r="ED841" s="41"/>
      <c r="EE841" s="41"/>
      <c r="EF841" s="41"/>
      <c r="EG841" s="41"/>
      <c r="EH841" s="41"/>
      <c r="EI841" s="41"/>
      <c r="EJ841" s="41"/>
      <c r="EK841" s="41"/>
      <c r="EL841" s="41"/>
      <c r="EM841" s="41"/>
      <c r="EN841" s="41"/>
      <c r="EO841" s="41"/>
      <c r="EP841" s="41"/>
      <c r="EQ841" s="41"/>
      <c r="ER841" s="41"/>
      <c r="ES841" s="41"/>
      <c r="ET841" s="41"/>
      <c r="EU841" s="41"/>
      <c r="EV841" s="41"/>
      <c r="EW841" s="41"/>
      <c r="EX841" s="41"/>
      <c r="EY841" s="41"/>
      <c r="EZ841" s="41"/>
      <c r="FA841" s="41"/>
      <c r="FB841" s="41"/>
      <c r="FC841" s="41"/>
      <c r="FD841" s="41"/>
      <c r="FE841" s="41"/>
      <c r="FF841" s="41"/>
      <c r="FG841" s="41"/>
      <c r="FH841" s="41"/>
      <c r="FI841" s="41"/>
      <c r="FJ841" s="41"/>
      <c r="FK841" s="41"/>
      <c r="FL841" s="41"/>
      <c r="FM841" s="41"/>
      <c r="FN841" s="41"/>
      <c r="FO841" s="41"/>
      <c r="FP841" s="41"/>
      <c r="FQ841" s="41"/>
      <c r="FR841" s="41"/>
      <c r="FS841" s="41"/>
      <c r="FT841" s="41"/>
      <c r="FU841" s="41"/>
      <c r="FV841" s="41"/>
      <c r="FW841" s="41"/>
      <c r="FX841" s="41"/>
      <c r="FY841" s="41"/>
      <c r="FZ841" s="41"/>
      <c r="GA841" s="41"/>
      <c r="GB841" s="41"/>
      <c r="GC841" s="41"/>
      <c r="GD841" s="41"/>
      <c r="GE841" s="41"/>
      <c r="GF841" s="41"/>
      <c r="GG841" s="41"/>
      <c r="GH841" s="41"/>
      <c r="GI841" s="41"/>
      <c r="GJ841" s="41"/>
      <c r="GK841" s="41"/>
      <c r="GL841" s="41"/>
      <c r="GM841" s="41"/>
      <c r="GN841" s="41"/>
      <c r="GO841" s="41"/>
      <c r="GP841" s="41"/>
      <c r="GQ841" s="41"/>
      <c r="GR841" s="41"/>
      <c r="GS841" s="41"/>
      <c r="GT841" s="41"/>
      <c r="GU841" s="41"/>
      <c r="GV841" s="41"/>
      <c r="GW841" s="41"/>
      <c r="GX841" s="41"/>
      <c r="GY841" s="41"/>
      <c r="GZ841" s="41"/>
      <c r="HA841" s="41"/>
      <c r="HB841" s="41"/>
      <c r="HC841" s="41"/>
      <c r="HD841" s="41"/>
      <c r="HE841" s="41"/>
      <c r="HF841" s="41"/>
      <c r="HG841" s="41"/>
      <c r="HH841" s="41"/>
      <c r="HI841" s="41"/>
      <c r="HJ841" s="41"/>
      <c r="HK841" s="41"/>
      <c r="HL841" s="41"/>
      <c r="HM841" s="41"/>
      <c r="HN841" s="41"/>
      <c r="HO841" s="41"/>
      <c r="HP841" s="41"/>
      <c r="HQ841" s="41"/>
      <c r="HR841" s="41"/>
      <c r="HS841" s="41"/>
      <c r="HT841" s="41"/>
      <c r="HU841" s="41"/>
      <c r="HV841" s="41"/>
      <c r="HW841" s="41"/>
      <c r="HX841" s="41"/>
      <c r="HY841" s="41"/>
      <c r="HZ841" s="41"/>
      <c r="IA841" s="41"/>
      <c r="IB841" s="41"/>
      <c r="IC841" s="41"/>
      <c r="ID841" s="41"/>
      <c r="IE841" s="41"/>
      <c r="IF841" s="41"/>
      <c r="IG841" s="41"/>
      <c r="IH841" s="41"/>
      <c r="II841" s="41"/>
      <c r="IJ841" s="41"/>
      <c r="IK841" s="41"/>
      <c r="IL841" s="41"/>
    </row>
    <row r="842" spans="1:246" s="3" customFormat="1" ht="30" customHeight="1" thickBot="1" x14ac:dyDescent="0.3">
      <c r="A842" s="45"/>
      <c r="B842" s="44" t="s">
        <v>22</v>
      </c>
      <c r="C842" s="43">
        <v>0</v>
      </c>
      <c r="D842" s="43">
        <v>0</v>
      </c>
      <c r="E842" s="479"/>
      <c r="F842" s="536"/>
      <c r="G842" s="479"/>
      <c r="H842" s="479"/>
      <c r="I842" s="479"/>
      <c r="J842" s="6">
        <v>0</v>
      </c>
      <c r="K842" s="41"/>
      <c r="L842" s="41"/>
      <c r="M842" s="41"/>
      <c r="N842" s="41"/>
      <c r="O842" s="41"/>
      <c r="P842" s="41"/>
      <c r="Q842" s="41"/>
      <c r="R842" s="41"/>
      <c r="S842" s="41"/>
      <c r="T842" s="41"/>
      <c r="U842" s="41"/>
      <c r="V842" s="41"/>
      <c r="W842" s="41"/>
      <c r="X842" s="41"/>
      <c r="Y842" s="41"/>
      <c r="Z842" s="41"/>
      <c r="AA842" s="41"/>
      <c r="AB842" s="41"/>
      <c r="AC842" s="41"/>
      <c r="AD842" s="41"/>
      <c r="AE842" s="41"/>
      <c r="AF842" s="41"/>
      <c r="AG842" s="41"/>
      <c r="AH842" s="41"/>
      <c r="AI842" s="41"/>
      <c r="AJ842" s="41"/>
      <c r="AK842" s="41"/>
      <c r="AL842" s="41"/>
      <c r="AM842" s="41"/>
      <c r="AN842" s="41"/>
      <c r="AO842" s="41"/>
      <c r="AP842" s="41"/>
      <c r="AQ842" s="41"/>
      <c r="AR842" s="41"/>
      <c r="AS842" s="41"/>
      <c r="AT842" s="41"/>
      <c r="AU842" s="41"/>
      <c r="AV842" s="41"/>
      <c r="AW842" s="41"/>
      <c r="AX842" s="41"/>
      <c r="AY842" s="41"/>
      <c r="AZ842" s="41"/>
      <c r="BA842" s="41"/>
      <c r="BB842" s="41"/>
      <c r="BC842" s="41"/>
      <c r="BD842" s="41"/>
      <c r="BE842" s="41"/>
      <c r="BF842" s="41"/>
      <c r="BG842" s="41"/>
      <c r="BH842" s="41"/>
      <c r="BI842" s="41"/>
      <c r="BJ842" s="41"/>
      <c r="BK842" s="41"/>
      <c r="BL842" s="41"/>
      <c r="BM842" s="41"/>
      <c r="BN842" s="41"/>
      <c r="BO842" s="41"/>
      <c r="BP842" s="41"/>
      <c r="BQ842" s="41"/>
      <c r="BR842" s="41"/>
      <c r="BS842" s="41"/>
      <c r="BT842" s="41"/>
      <c r="BU842" s="41"/>
      <c r="BV842" s="41"/>
      <c r="BW842" s="41"/>
      <c r="BX842" s="41"/>
      <c r="BY842" s="41"/>
      <c r="BZ842" s="41"/>
      <c r="CA842" s="41"/>
      <c r="CB842" s="41"/>
      <c r="CC842" s="41"/>
      <c r="CD842" s="41"/>
      <c r="CE842" s="41"/>
      <c r="CF842" s="41"/>
      <c r="CG842" s="41"/>
      <c r="CH842" s="41"/>
      <c r="CI842" s="41"/>
      <c r="CJ842" s="41"/>
      <c r="CK842" s="41"/>
      <c r="CL842" s="41"/>
      <c r="CM842" s="41"/>
      <c r="CN842" s="41"/>
      <c r="CO842" s="41"/>
      <c r="CP842" s="41"/>
      <c r="CQ842" s="41"/>
      <c r="CR842" s="41"/>
      <c r="CS842" s="41"/>
      <c r="CT842" s="41"/>
      <c r="CU842" s="41"/>
      <c r="CV842" s="41"/>
      <c r="CW842" s="41"/>
      <c r="CX842" s="41"/>
      <c r="CY842" s="41"/>
      <c r="CZ842" s="41"/>
      <c r="DA842" s="41"/>
      <c r="DB842" s="41"/>
      <c r="DC842" s="41"/>
      <c r="DD842" s="41"/>
      <c r="DE842" s="41"/>
      <c r="DF842" s="41"/>
      <c r="DG842" s="41"/>
      <c r="DH842" s="41"/>
      <c r="DI842" s="41"/>
      <c r="DJ842" s="41"/>
      <c r="DK842" s="41"/>
      <c r="DL842" s="41"/>
      <c r="DM842" s="41"/>
      <c r="DN842" s="41"/>
      <c r="DO842" s="41"/>
      <c r="DP842" s="41"/>
      <c r="DQ842" s="41"/>
      <c r="DR842" s="41"/>
      <c r="DS842" s="41"/>
      <c r="DT842" s="41"/>
      <c r="DU842" s="41"/>
      <c r="DV842" s="41"/>
      <c r="DW842" s="41"/>
      <c r="DX842" s="41"/>
      <c r="DY842" s="41"/>
      <c r="DZ842" s="41"/>
      <c r="EA842" s="41"/>
      <c r="EB842" s="41"/>
      <c r="EC842" s="41"/>
      <c r="ED842" s="41"/>
      <c r="EE842" s="41"/>
      <c r="EF842" s="41"/>
      <c r="EG842" s="41"/>
      <c r="EH842" s="41"/>
      <c r="EI842" s="41"/>
      <c r="EJ842" s="41"/>
      <c r="EK842" s="41"/>
      <c r="EL842" s="41"/>
      <c r="EM842" s="41"/>
      <c r="EN842" s="41"/>
      <c r="EO842" s="41"/>
      <c r="EP842" s="41"/>
      <c r="EQ842" s="41"/>
      <c r="ER842" s="41"/>
      <c r="ES842" s="41"/>
      <c r="ET842" s="41"/>
      <c r="EU842" s="41"/>
      <c r="EV842" s="41"/>
      <c r="EW842" s="41"/>
      <c r="EX842" s="41"/>
      <c r="EY842" s="41"/>
      <c r="EZ842" s="41"/>
      <c r="FA842" s="41"/>
      <c r="FB842" s="41"/>
      <c r="FC842" s="41"/>
      <c r="FD842" s="41"/>
      <c r="FE842" s="41"/>
      <c r="FF842" s="41"/>
      <c r="FG842" s="41"/>
      <c r="FH842" s="41"/>
      <c r="FI842" s="41"/>
      <c r="FJ842" s="41"/>
      <c r="FK842" s="41"/>
      <c r="FL842" s="41"/>
      <c r="FM842" s="41"/>
      <c r="FN842" s="41"/>
      <c r="FO842" s="41"/>
      <c r="FP842" s="41"/>
      <c r="FQ842" s="41"/>
      <c r="FR842" s="41"/>
      <c r="FS842" s="41"/>
      <c r="FT842" s="41"/>
      <c r="FU842" s="41"/>
      <c r="FV842" s="41"/>
      <c r="FW842" s="41"/>
      <c r="FX842" s="41"/>
      <c r="FY842" s="41"/>
      <c r="FZ842" s="41"/>
      <c r="GA842" s="41"/>
      <c r="GB842" s="41"/>
      <c r="GC842" s="41"/>
      <c r="GD842" s="41"/>
      <c r="GE842" s="41"/>
      <c r="GF842" s="41"/>
      <c r="GG842" s="41"/>
      <c r="GH842" s="41"/>
      <c r="GI842" s="41"/>
      <c r="GJ842" s="41"/>
      <c r="GK842" s="41"/>
      <c r="GL842" s="41"/>
      <c r="GM842" s="41"/>
      <c r="GN842" s="41"/>
      <c r="GO842" s="41"/>
      <c r="GP842" s="41"/>
      <c r="GQ842" s="41"/>
      <c r="GR842" s="41"/>
      <c r="GS842" s="41"/>
      <c r="GT842" s="41"/>
      <c r="GU842" s="41"/>
      <c r="GV842" s="41"/>
      <c r="GW842" s="41"/>
      <c r="GX842" s="41"/>
      <c r="GY842" s="41"/>
      <c r="GZ842" s="41"/>
      <c r="HA842" s="41"/>
      <c r="HB842" s="41"/>
      <c r="HC842" s="41"/>
      <c r="HD842" s="41"/>
      <c r="HE842" s="41"/>
      <c r="HF842" s="41"/>
      <c r="HG842" s="41"/>
      <c r="HH842" s="41"/>
      <c r="HI842" s="41"/>
      <c r="HJ842" s="41"/>
      <c r="HK842" s="41"/>
      <c r="HL842" s="41"/>
      <c r="HM842" s="41"/>
      <c r="HN842" s="41"/>
      <c r="HO842" s="41"/>
      <c r="HP842" s="41"/>
      <c r="HQ842" s="41"/>
      <c r="HR842" s="41"/>
      <c r="HS842" s="41"/>
      <c r="HT842" s="41"/>
      <c r="HU842" s="41"/>
      <c r="HV842" s="41"/>
      <c r="HW842" s="41"/>
      <c r="HX842" s="41"/>
      <c r="HY842" s="41"/>
      <c r="HZ842" s="41"/>
      <c r="IA842" s="41"/>
      <c r="IB842" s="41"/>
      <c r="IC842" s="41"/>
      <c r="ID842" s="41"/>
      <c r="IE842" s="41"/>
      <c r="IF842" s="41"/>
      <c r="IG842" s="41"/>
      <c r="IH842" s="41"/>
      <c r="II842" s="41"/>
      <c r="IJ842" s="41"/>
      <c r="IK842" s="41"/>
      <c r="IL842" s="41"/>
    </row>
    <row r="843" spans="1:246" s="3" customFormat="1" ht="30" customHeight="1" x14ac:dyDescent="0.2">
      <c r="A843" s="42">
        <v>3699</v>
      </c>
      <c r="B843" s="29" t="s">
        <v>21</v>
      </c>
      <c r="C843" s="24">
        <v>0</v>
      </c>
      <c r="D843" s="24">
        <v>0</v>
      </c>
      <c r="E843" s="527"/>
      <c r="F843" s="532"/>
      <c r="G843" s="120"/>
      <c r="H843" s="121"/>
      <c r="I843" s="121"/>
      <c r="J843" s="14">
        <v>0</v>
      </c>
      <c r="K843" s="41"/>
      <c r="L843" s="41"/>
      <c r="M843" s="41"/>
      <c r="N843" s="41"/>
      <c r="O843" s="41"/>
      <c r="P843" s="41"/>
      <c r="Q843" s="41"/>
      <c r="R843" s="41"/>
      <c r="S843" s="41"/>
      <c r="T843" s="41"/>
      <c r="U843" s="41"/>
      <c r="V843" s="41"/>
      <c r="W843" s="41"/>
      <c r="X843" s="41"/>
      <c r="Y843" s="41"/>
      <c r="Z843" s="41"/>
      <c r="AA843" s="41"/>
      <c r="AB843" s="41"/>
      <c r="AC843" s="41"/>
      <c r="AD843" s="41"/>
      <c r="AE843" s="41"/>
      <c r="AF843" s="41"/>
      <c r="AG843" s="41"/>
      <c r="AH843" s="41"/>
      <c r="AI843" s="41"/>
      <c r="AJ843" s="41"/>
      <c r="AK843" s="41"/>
      <c r="AL843" s="41"/>
      <c r="AM843" s="41"/>
      <c r="AN843" s="41"/>
      <c r="AO843" s="41"/>
      <c r="AP843" s="41"/>
      <c r="AQ843" s="41"/>
      <c r="AR843" s="41"/>
      <c r="AS843" s="41"/>
      <c r="AT843" s="41"/>
      <c r="AU843" s="41"/>
      <c r="AV843" s="41"/>
      <c r="AW843" s="41"/>
      <c r="AX843" s="41"/>
      <c r="AY843" s="41"/>
      <c r="AZ843" s="41"/>
      <c r="BA843" s="41"/>
      <c r="BB843" s="41"/>
      <c r="BC843" s="41"/>
      <c r="BD843" s="41"/>
      <c r="BE843" s="41"/>
      <c r="BF843" s="41"/>
      <c r="BG843" s="41"/>
      <c r="BH843" s="41"/>
      <c r="BI843" s="41"/>
      <c r="BJ843" s="41"/>
      <c r="BK843" s="41"/>
      <c r="BL843" s="41"/>
      <c r="BM843" s="41"/>
      <c r="BN843" s="41"/>
      <c r="BO843" s="41"/>
      <c r="BP843" s="41"/>
      <c r="BQ843" s="41"/>
      <c r="BR843" s="41"/>
      <c r="BS843" s="41"/>
      <c r="BT843" s="41"/>
      <c r="BU843" s="41"/>
      <c r="BV843" s="41"/>
      <c r="BW843" s="41"/>
      <c r="BX843" s="41"/>
      <c r="BY843" s="41"/>
      <c r="BZ843" s="41"/>
      <c r="CA843" s="41"/>
      <c r="CB843" s="41"/>
      <c r="CC843" s="41"/>
      <c r="CD843" s="41"/>
      <c r="CE843" s="41"/>
      <c r="CF843" s="41"/>
      <c r="CG843" s="41"/>
      <c r="CH843" s="41"/>
      <c r="CI843" s="41"/>
      <c r="CJ843" s="41"/>
      <c r="CK843" s="41"/>
      <c r="CL843" s="41"/>
      <c r="CM843" s="41"/>
      <c r="CN843" s="41"/>
      <c r="CO843" s="41"/>
      <c r="CP843" s="41"/>
      <c r="CQ843" s="41"/>
      <c r="CR843" s="41"/>
      <c r="CS843" s="41"/>
      <c r="CT843" s="41"/>
      <c r="CU843" s="41"/>
      <c r="CV843" s="41"/>
      <c r="CW843" s="41"/>
      <c r="CX843" s="41"/>
      <c r="CY843" s="41"/>
      <c r="CZ843" s="41"/>
      <c r="DA843" s="41"/>
      <c r="DB843" s="41"/>
      <c r="DC843" s="41"/>
      <c r="DD843" s="41"/>
      <c r="DE843" s="41"/>
      <c r="DF843" s="41"/>
      <c r="DG843" s="41"/>
      <c r="DH843" s="41"/>
      <c r="DI843" s="41"/>
      <c r="DJ843" s="41"/>
      <c r="DK843" s="41"/>
      <c r="DL843" s="41"/>
      <c r="DM843" s="41"/>
      <c r="DN843" s="41"/>
      <c r="DO843" s="41"/>
      <c r="DP843" s="41"/>
      <c r="DQ843" s="41"/>
      <c r="DR843" s="41"/>
      <c r="DS843" s="41"/>
      <c r="DT843" s="41"/>
      <c r="DU843" s="41"/>
      <c r="DV843" s="41"/>
      <c r="DW843" s="41"/>
      <c r="DX843" s="41"/>
      <c r="DY843" s="41"/>
      <c r="DZ843" s="41"/>
      <c r="EA843" s="41"/>
      <c r="EB843" s="41"/>
      <c r="EC843" s="41"/>
      <c r="ED843" s="41"/>
      <c r="EE843" s="41"/>
      <c r="EF843" s="41"/>
      <c r="EG843" s="41"/>
      <c r="EH843" s="41"/>
      <c r="EI843" s="41"/>
      <c r="EJ843" s="41"/>
      <c r="EK843" s="41"/>
      <c r="EL843" s="41"/>
      <c r="EM843" s="41"/>
      <c r="EN843" s="41"/>
      <c r="EO843" s="41"/>
      <c r="EP843" s="41"/>
      <c r="EQ843" s="41"/>
      <c r="ER843" s="41"/>
      <c r="ES843" s="41"/>
      <c r="ET843" s="41"/>
      <c r="EU843" s="41"/>
      <c r="EV843" s="41"/>
      <c r="EW843" s="41"/>
      <c r="EX843" s="41"/>
      <c r="EY843" s="41"/>
      <c r="EZ843" s="41"/>
      <c r="FA843" s="41"/>
      <c r="FB843" s="41"/>
      <c r="FC843" s="41"/>
      <c r="FD843" s="41"/>
      <c r="FE843" s="41"/>
      <c r="FF843" s="41"/>
      <c r="FG843" s="41"/>
      <c r="FH843" s="41"/>
      <c r="FI843" s="41"/>
      <c r="FJ843" s="41"/>
      <c r="FK843" s="41"/>
      <c r="FL843" s="41"/>
      <c r="FM843" s="41"/>
      <c r="FN843" s="41"/>
      <c r="FO843" s="41"/>
      <c r="FP843" s="41"/>
      <c r="FQ843" s="41"/>
      <c r="FR843" s="41"/>
      <c r="FS843" s="41"/>
      <c r="FT843" s="41"/>
      <c r="FU843" s="41"/>
      <c r="FV843" s="41"/>
      <c r="FW843" s="41"/>
      <c r="FX843" s="41"/>
      <c r="FY843" s="41"/>
      <c r="FZ843" s="41"/>
      <c r="GA843" s="41"/>
      <c r="GB843" s="41"/>
      <c r="GC843" s="41"/>
      <c r="GD843" s="41"/>
      <c r="GE843" s="41"/>
      <c r="GF843" s="41"/>
      <c r="GG843" s="41"/>
      <c r="GH843" s="41"/>
      <c r="GI843" s="41"/>
      <c r="GJ843" s="41"/>
      <c r="GK843" s="41"/>
      <c r="GL843" s="41"/>
      <c r="GM843" s="41"/>
      <c r="GN843" s="41"/>
      <c r="GO843" s="41"/>
      <c r="GP843" s="41"/>
      <c r="GQ843" s="41"/>
      <c r="GR843" s="41"/>
      <c r="GS843" s="41"/>
      <c r="GT843" s="41"/>
      <c r="GU843" s="41"/>
      <c r="GV843" s="41"/>
      <c r="GW843" s="41"/>
      <c r="GX843" s="41"/>
      <c r="GY843" s="41"/>
      <c r="GZ843" s="41"/>
      <c r="HA843" s="41"/>
      <c r="HB843" s="41"/>
      <c r="HC843" s="41"/>
      <c r="HD843" s="41"/>
      <c r="HE843" s="41"/>
      <c r="HF843" s="41"/>
      <c r="HG843" s="41"/>
      <c r="HH843" s="41"/>
      <c r="HI843" s="41"/>
      <c r="HJ843" s="41"/>
      <c r="HK843" s="41"/>
      <c r="HL843" s="41"/>
      <c r="HM843" s="41"/>
      <c r="HN843" s="41"/>
      <c r="HO843" s="41"/>
      <c r="HP843" s="41"/>
      <c r="HQ843" s="41"/>
      <c r="HR843" s="41"/>
      <c r="HS843" s="41"/>
      <c r="HT843" s="41"/>
      <c r="HU843" s="41"/>
      <c r="HV843" s="41"/>
      <c r="HW843" s="41"/>
      <c r="HX843" s="41"/>
      <c r="HY843" s="41"/>
      <c r="HZ843" s="41"/>
      <c r="IA843" s="41"/>
      <c r="IB843" s="41"/>
      <c r="IC843" s="41"/>
      <c r="ID843" s="41"/>
      <c r="IE843" s="41"/>
      <c r="IF843" s="41"/>
      <c r="IG843" s="41"/>
      <c r="IH843" s="41"/>
      <c r="II843" s="41"/>
      <c r="IJ843" s="41"/>
      <c r="IK843" s="41"/>
      <c r="IL843" s="41"/>
    </row>
    <row r="844" spans="1:246" ht="30" customHeight="1" thickBot="1" x14ac:dyDescent="0.25">
      <c r="A844" s="40"/>
      <c r="B844" s="39"/>
      <c r="C844" s="11"/>
      <c r="D844" s="11"/>
      <c r="E844" s="517"/>
      <c r="F844" s="518"/>
      <c r="G844" s="517"/>
      <c r="H844" s="517"/>
      <c r="I844" s="517"/>
      <c r="J844" s="568"/>
      <c r="K844" s="38"/>
      <c r="L844" s="38"/>
      <c r="M844" s="38"/>
      <c r="N844" s="38"/>
      <c r="O844" s="38"/>
      <c r="P844" s="38"/>
      <c r="Q844" s="38"/>
      <c r="R844" s="38"/>
      <c r="S844" s="38"/>
      <c r="T844" s="38"/>
      <c r="U844" s="38"/>
      <c r="V844" s="38"/>
      <c r="W844" s="38"/>
      <c r="X844" s="38"/>
      <c r="Y844" s="38"/>
      <c r="Z844" s="38"/>
      <c r="AA844" s="38"/>
      <c r="AB844" s="38"/>
      <c r="AC844" s="38"/>
      <c r="AD844" s="38"/>
      <c r="AE844" s="38"/>
      <c r="AF844" s="38"/>
      <c r="AG844" s="38"/>
      <c r="AH844" s="38"/>
      <c r="AI844" s="38"/>
      <c r="AJ844" s="38"/>
      <c r="AK844" s="38"/>
      <c r="AL844" s="38"/>
      <c r="AM844" s="38"/>
      <c r="AN844" s="38"/>
      <c r="AO844" s="38"/>
      <c r="AP844" s="38"/>
      <c r="AQ844" s="38"/>
      <c r="AR844" s="38"/>
      <c r="AS844" s="38"/>
      <c r="AT844" s="38"/>
      <c r="AU844" s="38"/>
      <c r="AV844" s="38"/>
      <c r="AW844" s="38"/>
      <c r="AX844" s="38"/>
      <c r="AY844" s="38"/>
      <c r="AZ844" s="38"/>
      <c r="BA844" s="38"/>
      <c r="BB844" s="38"/>
      <c r="BC844" s="38"/>
      <c r="BD844" s="38"/>
      <c r="BE844" s="38"/>
      <c r="BF844" s="38"/>
      <c r="BG844" s="38"/>
      <c r="BH844" s="38"/>
      <c r="BI844" s="38"/>
      <c r="BJ844" s="38"/>
      <c r="BK844" s="38"/>
      <c r="BL844" s="38"/>
      <c r="BM844" s="38"/>
      <c r="BN844" s="38"/>
      <c r="BO844" s="38"/>
      <c r="BP844" s="38"/>
      <c r="BQ844" s="38"/>
      <c r="BR844" s="38"/>
      <c r="BS844" s="38"/>
      <c r="BT844" s="38"/>
      <c r="BU844" s="38"/>
      <c r="BV844" s="38"/>
      <c r="BW844" s="38"/>
      <c r="BX844" s="38"/>
      <c r="BY844" s="38"/>
      <c r="BZ844" s="38"/>
      <c r="CA844" s="38"/>
      <c r="CB844" s="38"/>
      <c r="CC844" s="38"/>
      <c r="CD844" s="38"/>
      <c r="CE844" s="38"/>
      <c r="CF844" s="38"/>
      <c r="CG844" s="38"/>
      <c r="CH844" s="38"/>
      <c r="CI844" s="38"/>
      <c r="CJ844" s="38"/>
      <c r="CK844" s="38"/>
      <c r="CL844" s="38"/>
      <c r="CM844" s="38"/>
      <c r="CN844" s="38"/>
      <c r="CO844" s="38"/>
      <c r="CP844" s="38"/>
      <c r="CQ844" s="38"/>
      <c r="CR844" s="38"/>
      <c r="CS844" s="38"/>
      <c r="CT844" s="38"/>
      <c r="CU844" s="38"/>
      <c r="CV844" s="38"/>
      <c r="CW844" s="38"/>
      <c r="CX844" s="38"/>
      <c r="CY844" s="38"/>
      <c r="CZ844" s="38"/>
      <c r="DA844" s="38"/>
      <c r="DB844" s="38"/>
      <c r="DC844" s="38"/>
      <c r="DD844" s="38"/>
      <c r="DE844" s="38"/>
      <c r="DF844" s="38"/>
      <c r="DG844" s="38"/>
      <c r="DH844" s="38"/>
      <c r="DI844" s="38"/>
      <c r="DJ844" s="38"/>
      <c r="DK844" s="38"/>
      <c r="DL844" s="38"/>
      <c r="DM844" s="38"/>
      <c r="DN844" s="38"/>
      <c r="DO844" s="38"/>
      <c r="DP844" s="38"/>
      <c r="DQ844" s="38"/>
      <c r="DR844" s="38"/>
      <c r="DS844" s="38"/>
      <c r="DT844" s="38"/>
      <c r="DU844" s="38"/>
      <c r="DV844" s="38"/>
      <c r="DW844" s="38"/>
      <c r="DX844" s="38"/>
      <c r="DY844" s="38"/>
      <c r="DZ844" s="38"/>
      <c r="EA844" s="38"/>
      <c r="EB844" s="38"/>
      <c r="EC844" s="38"/>
      <c r="ED844" s="38"/>
      <c r="EE844" s="38"/>
      <c r="EF844" s="38"/>
      <c r="EG844" s="38"/>
      <c r="EH844" s="38"/>
      <c r="EI844" s="38"/>
      <c r="EJ844" s="38"/>
      <c r="EK844" s="38"/>
      <c r="EL844" s="38"/>
      <c r="EM844" s="38"/>
      <c r="EN844" s="38"/>
      <c r="EO844" s="38"/>
      <c r="EP844" s="38"/>
      <c r="EQ844" s="38"/>
      <c r="ER844" s="38"/>
      <c r="ES844" s="38"/>
      <c r="ET844" s="38"/>
      <c r="EU844" s="38"/>
      <c r="EV844" s="38"/>
      <c r="EW844" s="38"/>
      <c r="EX844" s="38"/>
      <c r="EY844" s="38"/>
      <c r="EZ844" s="38"/>
      <c r="FA844" s="38"/>
      <c r="FB844" s="38"/>
      <c r="FC844" s="38"/>
      <c r="FD844" s="38"/>
      <c r="FE844" s="38"/>
      <c r="FF844" s="38"/>
      <c r="FG844" s="38"/>
      <c r="FH844" s="38"/>
      <c r="FI844" s="38"/>
      <c r="FJ844" s="38"/>
      <c r="FK844" s="38"/>
      <c r="FL844" s="38"/>
      <c r="FM844" s="38"/>
      <c r="FN844" s="38"/>
      <c r="FO844" s="38"/>
      <c r="FP844" s="38"/>
      <c r="FQ844" s="38"/>
      <c r="FR844" s="38"/>
      <c r="FS844" s="38"/>
      <c r="FT844" s="38"/>
      <c r="FU844" s="38"/>
      <c r="FV844" s="38"/>
      <c r="FW844" s="38"/>
      <c r="FX844" s="38"/>
      <c r="FY844" s="38"/>
      <c r="FZ844" s="38"/>
      <c r="GA844" s="38"/>
      <c r="GB844" s="38"/>
      <c r="GC844" s="38"/>
      <c r="GD844" s="38"/>
      <c r="GE844" s="38"/>
      <c r="GF844" s="38"/>
      <c r="GG844" s="38"/>
      <c r="GH844" s="38"/>
      <c r="GI844" s="38"/>
      <c r="GJ844" s="38"/>
      <c r="GK844" s="38"/>
      <c r="GL844" s="38"/>
      <c r="GM844" s="38"/>
      <c r="GN844" s="38"/>
      <c r="GO844" s="38"/>
      <c r="GP844" s="38"/>
      <c r="GQ844" s="38"/>
      <c r="GR844" s="38"/>
      <c r="GS844" s="38"/>
      <c r="GT844" s="38"/>
      <c r="GU844" s="38"/>
      <c r="GV844" s="38"/>
      <c r="GW844" s="38"/>
      <c r="GX844" s="38"/>
      <c r="GY844" s="38"/>
      <c r="GZ844" s="38"/>
      <c r="HA844" s="38"/>
      <c r="HB844" s="38"/>
      <c r="HC844" s="38"/>
      <c r="HD844" s="38"/>
      <c r="HE844" s="38"/>
      <c r="HF844" s="38"/>
      <c r="HG844" s="38"/>
      <c r="HH844" s="38"/>
      <c r="HI844" s="38"/>
      <c r="HJ844" s="38"/>
      <c r="HK844" s="38"/>
      <c r="HL844" s="38"/>
      <c r="HM844" s="38"/>
      <c r="HN844" s="38"/>
      <c r="HO844" s="38"/>
      <c r="HP844" s="38"/>
      <c r="HQ844" s="38"/>
      <c r="HR844" s="38"/>
      <c r="HS844" s="38"/>
      <c r="HT844" s="38"/>
      <c r="HU844" s="38"/>
      <c r="HV844" s="38"/>
      <c r="HW844" s="38"/>
      <c r="HX844" s="38"/>
      <c r="HY844" s="38"/>
      <c r="HZ844" s="38"/>
      <c r="IA844" s="38"/>
      <c r="IB844" s="38"/>
      <c r="IC844" s="38"/>
      <c r="ID844" s="38"/>
      <c r="IE844" s="38"/>
      <c r="IF844" s="38"/>
      <c r="IG844" s="38"/>
      <c r="IH844" s="38"/>
      <c r="II844" s="38"/>
      <c r="IJ844" s="38"/>
      <c r="IK844" s="38"/>
      <c r="IL844" s="38"/>
    </row>
    <row r="845" spans="1:246" s="17" customFormat="1" ht="30" customHeight="1" thickBot="1" x14ac:dyDescent="0.35">
      <c r="A845" s="37"/>
      <c r="B845" s="36" t="s">
        <v>20</v>
      </c>
      <c r="C845" s="35">
        <f>SUM(C846:C849,C853:C854,C856:C859,C862,C868)</f>
        <v>36184308.620000005</v>
      </c>
      <c r="D845" s="35">
        <f>SUM(D846:D849,D853:D854,D856:D859,D862,D868)</f>
        <v>90428310.900000006</v>
      </c>
      <c r="E845" s="181"/>
      <c r="F845" s="707"/>
      <c r="G845" s="571"/>
      <c r="H845" s="181"/>
      <c r="I845" s="181"/>
      <c r="J845" s="568">
        <v>32121797.920000002</v>
      </c>
    </row>
    <row r="846" spans="1:246" s="27" customFormat="1" ht="30" customHeight="1" x14ac:dyDescent="0.2">
      <c r="A846" s="34" t="s">
        <v>787</v>
      </c>
      <c r="B846" s="33" t="s">
        <v>784</v>
      </c>
      <c r="C846" s="24">
        <v>10000</v>
      </c>
      <c r="D846" s="24">
        <v>10000</v>
      </c>
      <c r="E846" s="527"/>
      <c r="F846" s="532"/>
      <c r="G846" s="120"/>
      <c r="H846" s="121"/>
      <c r="I846" s="121"/>
      <c r="J846" s="568">
        <v>50000</v>
      </c>
    </row>
    <row r="847" spans="1:246" s="27" customFormat="1" ht="48.75" x14ac:dyDescent="0.2">
      <c r="A847" s="728" t="s">
        <v>974</v>
      </c>
      <c r="B847" s="32" t="s">
        <v>973</v>
      </c>
      <c r="C847" s="24">
        <f>6808.62+242500</f>
        <v>249308.62</v>
      </c>
      <c r="D847" s="24">
        <f>6808.62+242500</f>
        <v>249308.62</v>
      </c>
      <c r="E847" s="120"/>
      <c r="F847" s="532"/>
      <c r="G847" s="120"/>
      <c r="H847" s="121"/>
      <c r="I847" s="121"/>
      <c r="J847" s="574">
        <v>127764.76</v>
      </c>
    </row>
    <row r="848" spans="1:246" s="3" customFormat="1" ht="30" customHeight="1" x14ac:dyDescent="0.3">
      <c r="A848" s="20">
        <v>3111</v>
      </c>
      <c r="B848" s="19" t="s">
        <v>880</v>
      </c>
      <c r="C848" s="24">
        <v>0</v>
      </c>
      <c r="D848" s="24">
        <v>11654.14</v>
      </c>
      <c r="E848" s="527"/>
      <c r="F848" s="532"/>
      <c r="G848" s="120"/>
      <c r="H848" s="121"/>
      <c r="I848" s="121"/>
      <c r="J848" s="568">
        <v>27435.84</v>
      </c>
      <c r="K848" s="31"/>
    </row>
    <row r="849" spans="1:11" s="3" customFormat="1" ht="30" customHeight="1" x14ac:dyDescent="0.3">
      <c r="A849" s="20">
        <v>3113</v>
      </c>
      <c r="B849" s="19" t="s">
        <v>997</v>
      </c>
      <c r="C849" s="24">
        <f>SUM(C850:C852)</f>
        <v>0</v>
      </c>
      <c r="D849" s="24">
        <f>SUM(D850:D852)</f>
        <v>279947.84999999998</v>
      </c>
      <c r="E849" s="527"/>
      <c r="F849" s="532"/>
      <c r="G849" s="120"/>
      <c r="H849" s="121"/>
      <c r="I849" s="121"/>
      <c r="J849" s="568">
        <v>27435.84</v>
      </c>
      <c r="K849" s="31"/>
    </row>
    <row r="850" spans="1:11" s="2" customFormat="1" ht="30" customHeight="1" x14ac:dyDescent="0.3">
      <c r="A850" s="23"/>
      <c r="B850" s="743" t="s">
        <v>1001</v>
      </c>
      <c r="C850" s="9">
        <v>0</v>
      </c>
      <c r="D850" s="9">
        <f>(12131.44+68744.81)</f>
        <v>80876.25</v>
      </c>
      <c r="E850" s="528"/>
      <c r="F850" s="532"/>
      <c r="G850" s="126"/>
      <c r="H850" s="130"/>
      <c r="I850" s="130"/>
      <c r="J850" s="14">
        <v>27435.84</v>
      </c>
      <c r="K850" s="742"/>
    </row>
    <row r="851" spans="1:11" s="2" customFormat="1" ht="30" customHeight="1" x14ac:dyDescent="0.3">
      <c r="A851" s="23"/>
      <c r="B851" s="743" t="s">
        <v>1000</v>
      </c>
      <c r="C851" s="9">
        <v>0</v>
      </c>
      <c r="D851" s="9">
        <f>(22324.68+126506.52)</f>
        <v>148831.20000000001</v>
      </c>
      <c r="E851" s="528"/>
      <c r="F851" s="532"/>
      <c r="G851" s="126"/>
      <c r="H851" s="130"/>
      <c r="I851" s="130"/>
      <c r="J851" s="14">
        <v>27435.84</v>
      </c>
      <c r="K851" s="742"/>
    </row>
    <row r="852" spans="1:11" s="2" customFormat="1" ht="30" customHeight="1" x14ac:dyDescent="0.3">
      <c r="A852" s="23"/>
      <c r="B852" s="743" t="s">
        <v>1002</v>
      </c>
      <c r="C852" s="9">
        <v>0</v>
      </c>
      <c r="D852" s="9">
        <f>(7536.06+42704.34)</f>
        <v>50240.399999999994</v>
      </c>
      <c r="E852" s="528"/>
      <c r="F852" s="532"/>
      <c r="G852" s="126"/>
      <c r="H852" s="130"/>
      <c r="I852" s="130"/>
      <c r="J852" s="14">
        <v>27435.84</v>
      </c>
      <c r="K852" s="742"/>
    </row>
    <row r="853" spans="1:11" s="3" customFormat="1" ht="30" customHeight="1" x14ac:dyDescent="0.3">
      <c r="A853" s="20">
        <v>3634</v>
      </c>
      <c r="B853" s="19" t="s">
        <v>15</v>
      </c>
      <c r="C853" s="24">
        <v>8000000</v>
      </c>
      <c r="D853" s="24">
        <f>8000000-131390</f>
        <v>7868610</v>
      </c>
      <c r="E853" s="527"/>
      <c r="F853" s="532"/>
      <c r="G853" s="120"/>
      <c r="H853" s="121"/>
      <c r="I853" s="121"/>
      <c r="J853" s="574">
        <v>7703693</v>
      </c>
      <c r="K853" s="21"/>
    </row>
    <row r="854" spans="1:11" s="27" customFormat="1" ht="30" customHeight="1" x14ac:dyDescent="0.2">
      <c r="A854" s="30">
        <v>3639</v>
      </c>
      <c r="B854" s="29" t="s">
        <v>14</v>
      </c>
      <c r="C854" s="24">
        <f xml:space="preserve"> C855</f>
        <v>150000</v>
      </c>
      <c r="D854" s="24">
        <f xml:space="preserve"> D855</f>
        <v>373508</v>
      </c>
      <c r="E854" s="527"/>
      <c r="F854" s="532"/>
      <c r="G854" s="120"/>
      <c r="H854" s="121"/>
      <c r="I854" s="121"/>
      <c r="J854" s="574">
        <v>29016</v>
      </c>
    </row>
    <row r="855" spans="1:11" s="27" customFormat="1" ht="30" customHeight="1" x14ac:dyDescent="0.2">
      <c r="A855" s="20"/>
      <c r="B855" s="28" t="s">
        <v>13</v>
      </c>
      <c r="C855" s="9">
        <v>150000</v>
      </c>
      <c r="D855" s="9">
        <f>150000+133612+89896</f>
        <v>373508</v>
      </c>
      <c r="E855" s="528"/>
      <c r="F855" s="532"/>
      <c r="G855" s="126"/>
      <c r="H855" s="130"/>
      <c r="I855" s="130"/>
      <c r="J855" s="568">
        <v>29016</v>
      </c>
    </row>
    <row r="856" spans="1:11" ht="30" customHeight="1" x14ac:dyDescent="0.2">
      <c r="A856" s="20">
        <v>5269</v>
      </c>
      <c r="B856" s="741" t="s">
        <v>984</v>
      </c>
      <c r="C856" s="24">
        <v>0</v>
      </c>
      <c r="D856" s="24">
        <v>140000</v>
      </c>
      <c r="E856" s="120"/>
      <c r="F856" s="532"/>
      <c r="G856" s="120"/>
      <c r="H856" s="121"/>
      <c r="I856" s="121"/>
      <c r="J856" s="568"/>
    </row>
    <row r="857" spans="1:11" ht="30" customHeight="1" x14ac:dyDescent="0.2">
      <c r="A857" s="20">
        <v>6171</v>
      </c>
      <c r="B857" s="26" t="s">
        <v>12</v>
      </c>
      <c r="C857" s="24">
        <v>150000</v>
      </c>
      <c r="D857" s="24">
        <v>150000</v>
      </c>
      <c r="E857" s="527"/>
      <c r="F857" s="532"/>
      <c r="G857" s="120"/>
      <c r="H857" s="121"/>
      <c r="I857" s="121"/>
      <c r="J857" s="568">
        <v>3709</v>
      </c>
    </row>
    <row r="858" spans="1:11" ht="30" customHeight="1" x14ac:dyDescent="0.2">
      <c r="A858" s="20">
        <v>6310</v>
      </c>
      <c r="B858" s="19" t="s">
        <v>11</v>
      </c>
      <c r="C858" s="24">
        <v>320000</v>
      </c>
      <c r="D858" s="24">
        <f>320000+53917+50000</f>
        <v>423917</v>
      </c>
      <c r="E858" s="527"/>
      <c r="F858" s="532"/>
      <c r="G858" s="120"/>
      <c r="H858" s="121"/>
      <c r="I858" s="121"/>
      <c r="J858" s="568">
        <v>179181.9</v>
      </c>
    </row>
    <row r="859" spans="1:11" ht="30" customHeight="1" x14ac:dyDescent="0.2">
      <c r="A859" s="20">
        <v>6399</v>
      </c>
      <c r="B859" s="19" t="s">
        <v>10</v>
      </c>
      <c r="C859" s="18">
        <f>SUM(C860:C861)</f>
        <v>26000000</v>
      </c>
      <c r="D859" s="18">
        <f>SUM(D860:D861)</f>
        <v>29430127</v>
      </c>
      <c r="E859" s="527"/>
      <c r="F859" s="528"/>
      <c r="G859" s="120"/>
      <c r="H859" s="121"/>
      <c r="I859" s="121"/>
      <c r="J859" s="568">
        <v>23216300</v>
      </c>
    </row>
    <row r="860" spans="1:11" ht="30" customHeight="1" x14ac:dyDescent="0.2">
      <c r="A860" s="16"/>
      <c r="B860" s="15" t="s">
        <v>9</v>
      </c>
      <c r="C860" s="10">
        <v>23000000</v>
      </c>
      <c r="D860" s="10">
        <f>23000000-1962450+(1962450-1962250)</f>
        <v>21037750</v>
      </c>
      <c r="E860" s="528"/>
      <c r="F860" s="532"/>
      <c r="G860" s="126"/>
      <c r="H860" s="130"/>
      <c r="I860" s="130"/>
      <c r="J860" s="568">
        <v>23015870</v>
      </c>
    </row>
    <row r="861" spans="1:11" ht="30" customHeight="1" x14ac:dyDescent="0.2">
      <c r="A861" s="16"/>
      <c r="B861" s="15" t="s">
        <v>8</v>
      </c>
      <c r="C861" s="9">
        <v>3000000</v>
      </c>
      <c r="D861" s="9">
        <f>3000000+7000000-1607623</f>
        <v>8392377</v>
      </c>
      <c r="E861" s="528"/>
      <c r="F861" s="532"/>
      <c r="G861" s="126"/>
      <c r="H861" s="130"/>
      <c r="I861" s="130"/>
      <c r="J861" s="568">
        <v>1200430</v>
      </c>
    </row>
    <row r="862" spans="1:11" s="3" customFormat="1" ht="30" customHeight="1" x14ac:dyDescent="0.3">
      <c r="A862" s="20">
        <v>6402</v>
      </c>
      <c r="B862" s="19" t="s">
        <v>7</v>
      </c>
      <c r="C862" s="18">
        <f>SUM(C865:C867)</f>
        <v>0</v>
      </c>
      <c r="D862" s="18">
        <f>SUM(D863:D867)</f>
        <v>155222.64000000001</v>
      </c>
      <c r="E862" s="527"/>
      <c r="F862" s="528"/>
      <c r="G862" s="120"/>
      <c r="H862" s="121"/>
      <c r="I862" s="121"/>
      <c r="J862" s="568">
        <v>60592.58</v>
      </c>
      <c r="K862" s="21"/>
    </row>
    <row r="863" spans="1:11" s="2" customFormat="1" ht="30" customHeight="1" x14ac:dyDescent="0.3">
      <c r="A863" s="23"/>
      <c r="B863" s="278" t="s">
        <v>1029</v>
      </c>
      <c r="C863" s="9">
        <v>0</v>
      </c>
      <c r="D863" s="9">
        <f>(452.24+2562.76)</f>
        <v>3015</v>
      </c>
      <c r="E863" s="528"/>
      <c r="F863" s="532"/>
      <c r="G863" s="126"/>
      <c r="H863" s="130"/>
      <c r="I863" s="130"/>
      <c r="J863" s="568">
        <v>5607</v>
      </c>
      <c r="K863" s="21"/>
    </row>
    <row r="864" spans="1:11" s="2" customFormat="1" ht="30" customHeight="1" x14ac:dyDescent="0.3">
      <c r="A864" s="23"/>
      <c r="B864" s="278" t="s">
        <v>1024</v>
      </c>
      <c r="C864" s="9">
        <v>0</v>
      </c>
      <c r="D864" s="9">
        <f>(14375.24+2536.76)</f>
        <v>16912</v>
      </c>
      <c r="E864" s="528"/>
      <c r="F864" s="532"/>
      <c r="G864" s="126"/>
      <c r="H864" s="130"/>
      <c r="I864" s="130"/>
      <c r="J864" s="568">
        <v>5607</v>
      </c>
      <c r="K864" s="21"/>
    </row>
    <row r="865" spans="1:11" s="2" customFormat="1" ht="30" customHeight="1" x14ac:dyDescent="0.3">
      <c r="A865" s="23"/>
      <c r="B865" s="278" t="s">
        <v>1030</v>
      </c>
      <c r="C865" s="9">
        <v>0</v>
      </c>
      <c r="D865" s="9">
        <f>(17311.2+98096.8)</f>
        <v>115408</v>
      </c>
      <c r="E865" s="528"/>
      <c r="F865" s="532"/>
      <c r="G865" s="126"/>
      <c r="H865" s="130"/>
      <c r="I865" s="130"/>
      <c r="J865" s="568">
        <v>5607</v>
      </c>
      <c r="K865" s="21"/>
    </row>
    <row r="866" spans="1:11" s="2" customFormat="1" ht="30" customHeight="1" x14ac:dyDescent="0.3">
      <c r="A866" s="23"/>
      <c r="B866" s="22" t="s">
        <v>881</v>
      </c>
      <c r="C866" s="9">
        <v>0</v>
      </c>
      <c r="D866" s="9">
        <v>5719</v>
      </c>
      <c r="E866" s="528"/>
      <c r="F866" s="532"/>
      <c r="G866" s="126"/>
      <c r="H866" s="130"/>
      <c r="I866" s="130"/>
      <c r="J866" s="568">
        <v>14522.58</v>
      </c>
      <c r="K866" s="21"/>
    </row>
    <row r="867" spans="1:11" s="2" customFormat="1" ht="30" customHeight="1" x14ac:dyDescent="0.3">
      <c r="A867" s="23"/>
      <c r="B867" s="22" t="s">
        <v>895</v>
      </c>
      <c r="C867" s="9">
        <v>0</v>
      </c>
      <c r="D867" s="9">
        <v>14168.64</v>
      </c>
      <c r="E867" s="528"/>
      <c r="F867" s="532"/>
      <c r="G867" s="126"/>
      <c r="H867" s="130"/>
      <c r="I867" s="130"/>
      <c r="J867" s="568">
        <v>14522.58</v>
      </c>
      <c r="K867" s="21"/>
    </row>
    <row r="868" spans="1:11" s="17" customFormat="1" ht="30" customHeight="1" x14ac:dyDescent="0.25">
      <c r="A868" s="20">
        <v>6409</v>
      </c>
      <c r="B868" s="19" t="s">
        <v>3</v>
      </c>
      <c r="C868" s="18">
        <f>SUM(C869:C871)</f>
        <v>1305000</v>
      </c>
      <c r="D868" s="18">
        <f>SUM(D869:D871)</f>
        <v>51336015.650000013</v>
      </c>
      <c r="E868" s="715"/>
      <c r="F868" s="206"/>
      <c r="G868" s="120"/>
      <c r="H868" s="121"/>
      <c r="I868" s="715"/>
      <c r="J868" s="568">
        <v>218606.26</v>
      </c>
    </row>
    <row r="869" spans="1:11" s="3" customFormat="1" ht="30" customHeight="1" x14ac:dyDescent="0.2">
      <c r="A869" s="16"/>
      <c r="B869" s="15" t="s">
        <v>2</v>
      </c>
      <c r="C869" s="9">
        <v>1000000</v>
      </c>
      <c r="D869" s="9">
        <f>1000000+1037625.27+800-5719+2888353.24-133544.53+240528.48-263145.58+51405.97-133612-74168.64+2168620-500000-79385-267145-213939-2000000+(-100000-100000)+(-50000-50000)+1380+84689.93+1267+150000-500000+(2000000+1000000+300000)+8000000+1026933.11+167860+1785909.91-140000+186960+320000+65339.83+4013693.68+244970.18-1999529.39+(-2810000+1679963+1500000+12500000+50000+80000)+(-7122194+1325016.84)-100000-87530+499000+397841.81+89658.3+25286350+1496251.56+1681+1129135.83+411753.45-89896-15000000+766001.8+219366.52-3905942.92+63744-272169.76+208529+2136350.91+644666.09+4672567.33+50959.71+9406511.28+ (150000+70000+100000+100000+11240+360000+8530260+393000+386000+100000+669130)+(-766001.8+695005.27)-80000-30000+(3+1120000)+1000000+(1200000+422772.3)+(600000+70996.53)+971.25+3600+(-200000-1000000-37709.65+1559529.04-5500000+163593.94+407279.26-6000000+26459.9)+31689-8814047.7+(14887.1-3600)</f>
        <v>51108821.650000013</v>
      </c>
      <c r="E869" s="528"/>
      <c r="F869" s="532"/>
      <c r="G869" s="126"/>
      <c r="H869" s="130"/>
      <c r="I869" s="130"/>
      <c r="J869" s="568">
        <v>0</v>
      </c>
    </row>
    <row r="870" spans="1:11" s="3" customFormat="1" ht="36.75" x14ac:dyDescent="0.2">
      <c r="A870" s="724"/>
      <c r="B870" s="725" t="s">
        <v>1</v>
      </c>
      <c r="C870" s="46">
        <f>(5+80+50+80+30+5+60)*1000-5000</f>
        <v>305000</v>
      </c>
      <c r="D870" s="46">
        <f>(5+80+50+80+30+5+60)*1000-5000-80000+2194</f>
        <v>227194</v>
      </c>
      <c r="E870" s="151"/>
      <c r="F870" s="668"/>
      <c r="G870" s="151"/>
      <c r="H870" s="117"/>
      <c r="I870" s="117"/>
      <c r="J870" s="574">
        <v>218606.26</v>
      </c>
    </row>
    <row r="871" spans="1:11" s="3" customFormat="1" ht="30" customHeight="1" x14ac:dyDescent="0.2">
      <c r="A871" s="16"/>
      <c r="B871" s="726" t="s">
        <v>972</v>
      </c>
      <c r="C871" s="10">
        <v>0</v>
      </c>
      <c r="D871" s="10">
        <v>0</v>
      </c>
      <c r="E871" s="206"/>
      <c r="F871" s="496"/>
      <c r="G871" s="130"/>
      <c r="H871" s="130"/>
      <c r="I871" s="130"/>
      <c r="J871" s="574">
        <v>0</v>
      </c>
    </row>
    <row r="872" spans="1:11" s="3" customFormat="1" ht="30" customHeight="1" thickBot="1" x14ac:dyDescent="0.25">
      <c r="A872" s="722"/>
      <c r="B872" s="723"/>
      <c r="C872" s="46"/>
      <c r="D872" s="46"/>
      <c r="E872" s="668"/>
      <c r="F872" s="668"/>
      <c r="G872" s="151"/>
      <c r="H872" s="151"/>
      <c r="I872" s="151"/>
      <c r="J872" s="574"/>
    </row>
    <row r="873" spans="1:11" s="3" customFormat="1" ht="30" customHeight="1" thickBot="1" x14ac:dyDescent="0.4">
      <c r="A873" s="8"/>
      <c r="B873" s="7" t="s">
        <v>0</v>
      </c>
      <c r="C873" s="557">
        <f>SUM(C316+C383+C475+C480+C486+C496+C500+C503+C590+C594+C611+C621+C659+C665+C691+C834+C845)</f>
        <v>902306516.75</v>
      </c>
      <c r="D873" s="557">
        <f>SUM(D316+D383+D475+D480+D486+D496+D500+D503+D590+D594+D611+D621+D659+D665+D691+D834+D845)</f>
        <v>880179221.35000002</v>
      </c>
      <c r="E873" s="727"/>
      <c r="F873" s="733"/>
      <c r="G873" s="181"/>
      <c r="H873" s="181"/>
      <c r="I873" s="181"/>
      <c r="J873" s="568">
        <v>285608418.05000001</v>
      </c>
    </row>
    <row r="874" spans="1:11" x14ac:dyDescent="0.2">
      <c r="B874" s="5"/>
    </row>
    <row r="875" spans="1:11" x14ac:dyDescent="0.2">
      <c r="B875" s="4"/>
    </row>
    <row r="876" spans="1:11" s="3" customFormat="1" x14ac:dyDescent="0.2">
      <c r="A876" s="1"/>
      <c r="B876" s="1"/>
      <c r="C876" s="1"/>
      <c r="D876" s="1"/>
      <c r="E876" s="1"/>
      <c r="F876" s="2"/>
      <c r="G876" s="1"/>
      <c r="H876" s="1"/>
      <c r="I876" s="1"/>
      <c r="J876" s="1"/>
    </row>
    <row r="877" spans="1:11" s="3" customFormat="1" x14ac:dyDescent="0.2">
      <c r="A877" s="1"/>
      <c r="B877" s="1"/>
      <c r="C877" s="568">
        <f>C9-C873</f>
        <v>3.4999847412109375E-3</v>
      </c>
      <c r="D877" s="568">
        <f>D9-D873</f>
        <v>3.4999847412109375E-3</v>
      </c>
      <c r="E877" s="568">
        <f>E9-E873</f>
        <v>0</v>
      </c>
      <c r="F877" s="568">
        <f>F9-F873</f>
        <v>0</v>
      </c>
      <c r="G877" s="1"/>
      <c r="H877" s="1"/>
      <c r="I877" s="1"/>
      <c r="J877" s="1"/>
    </row>
    <row r="880" spans="1:11" x14ac:dyDescent="0.2">
      <c r="C880" s="568"/>
      <c r="D880" s="568"/>
    </row>
    <row r="881" spans="3:5" x14ac:dyDescent="0.2">
      <c r="C881" s="568"/>
      <c r="D881" s="568"/>
    </row>
    <row r="882" spans="3:5" x14ac:dyDescent="0.2">
      <c r="C882" s="568"/>
      <c r="D882" s="568"/>
    </row>
    <row r="883" spans="3:5" x14ac:dyDescent="0.2">
      <c r="C883" s="568"/>
      <c r="D883" s="568"/>
    </row>
    <row r="884" spans="3:5" x14ac:dyDescent="0.2">
      <c r="C884" s="568"/>
      <c r="D884" s="568"/>
    </row>
    <row r="885" spans="3:5" x14ac:dyDescent="0.2">
      <c r="C885" s="568"/>
      <c r="D885" s="568"/>
    </row>
    <row r="886" spans="3:5" x14ac:dyDescent="0.2">
      <c r="C886" s="568"/>
      <c r="D886" s="568"/>
    </row>
    <row r="887" spans="3:5" x14ac:dyDescent="0.2">
      <c r="C887" s="568"/>
      <c r="D887" s="568"/>
      <c r="E887" s="568"/>
    </row>
    <row r="888" spans="3:5" x14ac:dyDescent="0.2">
      <c r="D888" s="568"/>
    </row>
    <row r="889" spans="3:5" x14ac:dyDescent="0.2">
      <c r="D889" s="568"/>
    </row>
  </sheetData>
  <mergeCells count="1">
    <mergeCell ref="L313:M313"/>
  </mergeCells>
  <printOptions horizontalCentered="1"/>
  <pageMargins left="0" right="0" top="0.59055118110236227" bottom="0.39370078740157483" header="0" footer="0"/>
  <pageSetup paperSize="9" scale="71" fitToHeight="0" orientation="landscape" r:id="rId1"/>
  <headerFooter alignWithMargins="0">
    <oddFooter>&amp;C&amp;P</oddFooter>
  </headerFooter>
  <rowBreaks count="2" manualBreakCount="2">
    <brk id="50" max="6" man="1"/>
    <brk id="313" max="16383" man="1"/>
  </row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7"/>
  <sheetViews>
    <sheetView topLeftCell="A61" workbookViewId="0">
      <selection activeCell="I75" sqref="I75"/>
    </sheetView>
  </sheetViews>
  <sheetFormatPr defaultRowHeight="15" x14ac:dyDescent="0.2"/>
  <cols>
    <col min="2" max="3" width="8.28515625" customWidth="1"/>
    <col min="4" max="4" width="5" customWidth="1"/>
    <col min="5" max="5" width="8.28515625" customWidth="1"/>
    <col min="6" max="6" width="16.7109375" customWidth="1"/>
    <col min="7" max="7" width="18.7109375" style="595" customWidth="1"/>
    <col min="8" max="8" width="4.7109375" style="596" customWidth="1"/>
    <col min="9" max="9" width="16.85546875" customWidth="1"/>
    <col min="10" max="10" width="1.5703125" customWidth="1"/>
    <col min="11" max="11" width="14.5703125" customWidth="1"/>
    <col min="12" max="12" width="17.7109375" customWidth="1"/>
    <col min="258" max="259" width="8.28515625" customWidth="1"/>
    <col min="260" max="260" width="5" customWidth="1"/>
    <col min="261" max="261" width="8.28515625" customWidth="1"/>
    <col min="262" max="262" width="16.7109375" customWidth="1"/>
    <col min="263" max="263" width="17.7109375" customWidth="1"/>
    <col min="264" max="264" width="4.7109375" customWidth="1"/>
    <col min="265" max="265" width="16.85546875" customWidth="1"/>
    <col min="266" max="266" width="1.5703125" customWidth="1"/>
    <col min="267" max="267" width="14.5703125" customWidth="1"/>
    <col min="268" max="268" width="17.7109375" customWidth="1"/>
    <col min="514" max="515" width="8.28515625" customWidth="1"/>
    <col min="516" max="516" width="5" customWidth="1"/>
    <col min="517" max="517" width="8.28515625" customWidth="1"/>
    <col min="518" max="518" width="16.7109375" customWidth="1"/>
    <col min="519" max="519" width="17.7109375" customWidth="1"/>
    <col min="520" max="520" width="4.7109375" customWidth="1"/>
    <col min="521" max="521" width="16.85546875" customWidth="1"/>
    <col min="522" max="522" width="1.5703125" customWidth="1"/>
    <col min="523" max="523" width="14.5703125" customWidth="1"/>
    <col min="524" max="524" width="17.7109375" customWidth="1"/>
    <col min="770" max="771" width="8.28515625" customWidth="1"/>
    <col min="772" max="772" width="5" customWidth="1"/>
    <col min="773" max="773" width="8.28515625" customWidth="1"/>
    <col min="774" max="774" width="16.7109375" customWidth="1"/>
    <col min="775" max="775" width="17.7109375" customWidth="1"/>
    <col min="776" max="776" width="4.7109375" customWidth="1"/>
    <col min="777" max="777" width="16.85546875" customWidth="1"/>
    <col min="778" max="778" width="1.5703125" customWidth="1"/>
    <col min="779" max="779" width="14.5703125" customWidth="1"/>
    <col min="780" max="780" width="17.7109375" customWidth="1"/>
    <col min="1026" max="1027" width="8.28515625" customWidth="1"/>
    <col min="1028" max="1028" width="5" customWidth="1"/>
    <col min="1029" max="1029" width="8.28515625" customWidth="1"/>
    <col min="1030" max="1030" width="16.7109375" customWidth="1"/>
    <col min="1031" max="1031" width="17.7109375" customWidth="1"/>
    <col min="1032" max="1032" width="4.7109375" customWidth="1"/>
    <col min="1033" max="1033" width="16.85546875" customWidth="1"/>
    <col min="1034" max="1034" width="1.5703125" customWidth="1"/>
    <col min="1035" max="1035" width="14.5703125" customWidth="1"/>
    <col min="1036" max="1036" width="17.7109375" customWidth="1"/>
    <col min="1282" max="1283" width="8.28515625" customWidth="1"/>
    <col min="1284" max="1284" width="5" customWidth="1"/>
    <col min="1285" max="1285" width="8.28515625" customWidth="1"/>
    <col min="1286" max="1286" width="16.7109375" customWidth="1"/>
    <col min="1287" max="1287" width="17.7109375" customWidth="1"/>
    <col min="1288" max="1288" width="4.7109375" customWidth="1"/>
    <col min="1289" max="1289" width="16.85546875" customWidth="1"/>
    <col min="1290" max="1290" width="1.5703125" customWidth="1"/>
    <col min="1291" max="1291" width="14.5703125" customWidth="1"/>
    <col min="1292" max="1292" width="17.7109375" customWidth="1"/>
    <col min="1538" max="1539" width="8.28515625" customWidth="1"/>
    <col min="1540" max="1540" width="5" customWidth="1"/>
    <col min="1541" max="1541" width="8.28515625" customWidth="1"/>
    <col min="1542" max="1542" width="16.7109375" customWidth="1"/>
    <col min="1543" max="1543" width="17.7109375" customWidth="1"/>
    <col min="1544" max="1544" width="4.7109375" customWidth="1"/>
    <col min="1545" max="1545" width="16.85546875" customWidth="1"/>
    <col min="1546" max="1546" width="1.5703125" customWidth="1"/>
    <col min="1547" max="1547" width="14.5703125" customWidth="1"/>
    <col min="1548" max="1548" width="17.7109375" customWidth="1"/>
    <col min="1794" max="1795" width="8.28515625" customWidth="1"/>
    <col min="1796" max="1796" width="5" customWidth="1"/>
    <col min="1797" max="1797" width="8.28515625" customWidth="1"/>
    <col min="1798" max="1798" width="16.7109375" customWidth="1"/>
    <col min="1799" max="1799" width="17.7109375" customWidth="1"/>
    <col min="1800" max="1800" width="4.7109375" customWidth="1"/>
    <col min="1801" max="1801" width="16.85546875" customWidth="1"/>
    <col min="1802" max="1802" width="1.5703125" customWidth="1"/>
    <col min="1803" max="1803" width="14.5703125" customWidth="1"/>
    <col min="1804" max="1804" width="17.7109375" customWidth="1"/>
    <col min="2050" max="2051" width="8.28515625" customWidth="1"/>
    <col min="2052" max="2052" width="5" customWidth="1"/>
    <col min="2053" max="2053" width="8.28515625" customWidth="1"/>
    <col min="2054" max="2054" width="16.7109375" customWidth="1"/>
    <col min="2055" max="2055" width="17.7109375" customWidth="1"/>
    <col min="2056" max="2056" width="4.7109375" customWidth="1"/>
    <col min="2057" max="2057" width="16.85546875" customWidth="1"/>
    <col min="2058" max="2058" width="1.5703125" customWidth="1"/>
    <col min="2059" max="2059" width="14.5703125" customWidth="1"/>
    <col min="2060" max="2060" width="17.7109375" customWidth="1"/>
    <col min="2306" max="2307" width="8.28515625" customWidth="1"/>
    <col min="2308" max="2308" width="5" customWidth="1"/>
    <col min="2309" max="2309" width="8.28515625" customWidth="1"/>
    <col min="2310" max="2310" width="16.7109375" customWidth="1"/>
    <col min="2311" max="2311" width="17.7109375" customWidth="1"/>
    <col min="2312" max="2312" width="4.7109375" customWidth="1"/>
    <col min="2313" max="2313" width="16.85546875" customWidth="1"/>
    <col min="2314" max="2314" width="1.5703125" customWidth="1"/>
    <col min="2315" max="2315" width="14.5703125" customWidth="1"/>
    <col min="2316" max="2316" width="17.7109375" customWidth="1"/>
    <col min="2562" max="2563" width="8.28515625" customWidth="1"/>
    <col min="2564" max="2564" width="5" customWidth="1"/>
    <col min="2565" max="2565" width="8.28515625" customWidth="1"/>
    <col min="2566" max="2566" width="16.7109375" customWidth="1"/>
    <col min="2567" max="2567" width="17.7109375" customWidth="1"/>
    <col min="2568" max="2568" width="4.7109375" customWidth="1"/>
    <col min="2569" max="2569" width="16.85546875" customWidth="1"/>
    <col min="2570" max="2570" width="1.5703125" customWidth="1"/>
    <col min="2571" max="2571" width="14.5703125" customWidth="1"/>
    <col min="2572" max="2572" width="17.7109375" customWidth="1"/>
    <col min="2818" max="2819" width="8.28515625" customWidth="1"/>
    <col min="2820" max="2820" width="5" customWidth="1"/>
    <col min="2821" max="2821" width="8.28515625" customWidth="1"/>
    <col min="2822" max="2822" width="16.7109375" customWidth="1"/>
    <col min="2823" max="2823" width="17.7109375" customWidth="1"/>
    <col min="2824" max="2824" width="4.7109375" customWidth="1"/>
    <col min="2825" max="2825" width="16.85546875" customWidth="1"/>
    <col min="2826" max="2826" width="1.5703125" customWidth="1"/>
    <col min="2827" max="2827" width="14.5703125" customWidth="1"/>
    <col min="2828" max="2828" width="17.7109375" customWidth="1"/>
    <col min="3074" max="3075" width="8.28515625" customWidth="1"/>
    <col min="3076" max="3076" width="5" customWidth="1"/>
    <col min="3077" max="3077" width="8.28515625" customWidth="1"/>
    <col min="3078" max="3078" width="16.7109375" customWidth="1"/>
    <col min="3079" max="3079" width="17.7109375" customWidth="1"/>
    <col min="3080" max="3080" width="4.7109375" customWidth="1"/>
    <col min="3081" max="3081" width="16.85546875" customWidth="1"/>
    <col min="3082" max="3082" width="1.5703125" customWidth="1"/>
    <col min="3083" max="3083" width="14.5703125" customWidth="1"/>
    <col min="3084" max="3084" width="17.7109375" customWidth="1"/>
    <col min="3330" max="3331" width="8.28515625" customWidth="1"/>
    <col min="3332" max="3332" width="5" customWidth="1"/>
    <col min="3333" max="3333" width="8.28515625" customWidth="1"/>
    <col min="3334" max="3334" width="16.7109375" customWidth="1"/>
    <col min="3335" max="3335" width="17.7109375" customWidth="1"/>
    <col min="3336" max="3336" width="4.7109375" customWidth="1"/>
    <col min="3337" max="3337" width="16.85546875" customWidth="1"/>
    <col min="3338" max="3338" width="1.5703125" customWidth="1"/>
    <col min="3339" max="3339" width="14.5703125" customWidth="1"/>
    <col min="3340" max="3340" width="17.7109375" customWidth="1"/>
    <col min="3586" max="3587" width="8.28515625" customWidth="1"/>
    <col min="3588" max="3588" width="5" customWidth="1"/>
    <col min="3589" max="3589" width="8.28515625" customWidth="1"/>
    <col min="3590" max="3590" width="16.7109375" customWidth="1"/>
    <col min="3591" max="3591" width="17.7109375" customWidth="1"/>
    <col min="3592" max="3592" width="4.7109375" customWidth="1"/>
    <col min="3593" max="3593" width="16.85546875" customWidth="1"/>
    <col min="3594" max="3594" width="1.5703125" customWidth="1"/>
    <col min="3595" max="3595" width="14.5703125" customWidth="1"/>
    <col min="3596" max="3596" width="17.7109375" customWidth="1"/>
    <col min="3842" max="3843" width="8.28515625" customWidth="1"/>
    <col min="3844" max="3844" width="5" customWidth="1"/>
    <col min="3845" max="3845" width="8.28515625" customWidth="1"/>
    <col min="3846" max="3846" width="16.7109375" customWidth="1"/>
    <col min="3847" max="3847" width="17.7109375" customWidth="1"/>
    <col min="3848" max="3848" width="4.7109375" customWidth="1"/>
    <col min="3849" max="3849" width="16.85546875" customWidth="1"/>
    <col min="3850" max="3850" width="1.5703125" customWidth="1"/>
    <col min="3851" max="3851" width="14.5703125" customWidth="1"/>
    <col min="3852" max="3852" width="17.7109375" customWidth="1"/>
    <col min="4098" max="4099" width="8.28515625" customWidth="1"/>
    <col min="4100" max="4100" width="5" customWidth="1"/>
    <col min="4101" max="4101" width="8.28515625" customWidth="1"/>
    <col min="4102" max="4102" width="16.7109375" customWidth="1"/>
    <col min="4103" max="4103" width="17.7109375" customWidth="1"/>
    <col min="4104" max="4104" width="4.7109375" customWidth="1"/>
    <col min="4105" max="4105" width="16.85546875" customWidth="1"/>
    <col min="4106" max="4106" width="1.5703125" customWidth="1"/>
    <col min="4107" max="4107" width="14.5703125" customWidth="1"/>
    <col min="4108" max="4108" width="17.7109375" customWidth="1"/>
    <col min="4354" max="4355" width="8.28515625" customWidth="1"/>
    <col min="4356" max="4356" width="5" customWidth="1"/>
    <col min="4357" max="4357" width="8.28515625" customWidth="1"/>
    <col min="4358" max="4358" width="16.7109375" customWidth="1"/>
    <col min="4359" max="4359" width="17.7109375" customWidth="1"/>
    <col min="4360" max="4360" width="4.7109375" customWidth="1"/>
    <col min="4361" max="4361" width="16.85546875" customWidth="1"/>
    <col min="4362" max="4362" width="1.5703125" customWidth="1"/>
    <col min="4363" max="4363" width="14.5703125" customWidth="1"/>
    <col min="4364" max="4364" width="17.7109375" customWidth="1"/>
    <col min="4610" max="4611" width="8.28515625" customWidth="1"/>
    <col min="4612" max="4612" width="5" customWidth="1"/>
    <col min="4613" max="4613" width="8.28515625" customWidth="1"/>
    <col min="4614" max="4614" width="16.7109375" customWidth="1"/>
    <col min="4615" max="4615" width="17.7109375" customWidth="1"/>
    <col min="4616" max="4616" width="4.7109375" customWidth="1"/>
    <col min="4617" max="4617" width="16.85546875" customWidth="1"/>
    <col min="4618" max="4618" width="1.5703125" customWidth="1"/>
    <col min="4619" max="4619" width="14.5703125" customWidth="1"/>
    <col min="4620" max="4620" width="17.7109375" customWidth="1"/>
    <col min="4866" max="4867" width="8.28515625" customWidth="1"/>
    <col min="4868" max="4868" width="5" customWidth="1"/>
    <col min="4869" max="4869" width="8.28515625" customWidth="1"/>
    <col min="4870" max="4870" width="16.7109375" customWidth="1"/>
    <col min="4871" max="4871" width="17.7109375" customWidth="1"/>
    <col min="4872" max="4872" width="4.7109375" customWidth="1"/>
    <col min="4873" max="4873" width="16.85546875" customWidth="1"/>
    <col min="4874" max="4874" width="1.5703125" customWidth="1"/>
    <col min="4875" max="4875" width="14.5703125" customWidth="1"/>
    <col min="4876" max="4876" width="17.7109375" customWidth="1"/>
    <col min="5122" max="5123" width="8.28515625" customWidth="1"/>
    <col min="5124" max="5124" width="5" customWidth="1"/>
    <col min="5125" max="5125" width="8.28515625" customWidth="1"/>
    <col min="5126" max="5126" width="16.7109375" customWidth="1"/>
    <col min="5127" max="5127" width="17.7109375" customWidth="1"/>
    <col min="5128" max="5128" width="4.7109375" customWidth="1"/>
    <col min="5129" max="5129" width="16.85546875" customWidth="1"/>
    <col min="5130" max="5130" width="1.5703125" customWidth="1"/>
    <col min="5131" max="5131" width="14.5703125" customWidth="1"/>
    <col min="5132" max="5132" width="17.7109375" customWidth="1"/>
    <col min="5378" max="5379" width="8.28515625" customWidth="1"/>
    <col min="5380" max="5380" width="5" customWidth="1"/>
    <col min="5381" max="5381" width="8.28515625" customWidth="1"/>
    <col min="5382" max="5382" width="16.7109375" customWidth="1"/>
    <col min="5383" max="5383" width="17.7109375" customWidth="1"/>
    <col min="5384" max="5384" width="4.7109375" customWidth="1"/>
    <col min="5385" max="5385" width="16.85546875" customWidth="1"/>
    <col min="5386" max="5386" width="1.5703125" customWidth="1"/>
    <col min="5387" max="5387" width="14.5703125" customWidth="1"/>
    <col min="5388" max="5388" width="17.7109375" customWidth="1"/>
    <col min="5634" max="5635" width="8.28515625" customWidth="1"/>
    <col min="5636" max="5636" width="5" customWidth="1"/>
    <col min="5637" max="5637" width="8.28515625" customWidth="1"/>
    <col min="5638" max="5638" width="16.7109375" customWidth="1"/>
    <col min="5639" max="5639" width="17.7109375" customWidth="1"/>
    <col min="5640" max="5640" width="4.7109375" customWidth="1"/>
    <col min="5641" max="5641" width="16.85546875" customWidth="1"/>
    <col min="5642" max="5642" width="1.5703125" customWidth="1"/>
    <col min="5643" max="5643" width="14.5703125" customWidth="1"/>
    <col min="5644" max="5644" width="17.7109375" customWidth="1"/>
    <col min="5890" max="5891" width="8.28515625" customWidth="1"/>
    <col min="5892" max="5892" width="5" customWidth="1"/>
    <col min="5893" max="5893" width="8.28515625" customWidth="1"/>
    <col min="5894" max="5894" width="16.7109375" customWidth="1"/>
    <col min="5895" max="5895" width="17.7109375" customWidth="1"/>
    <col min="5896" max="5896" width="4.7109375" customWidth="1"/>
    <col min="5897" max="5897" width="16.85546875" customWidth="1"/>
    <col min="5898" max="5898" width="1.5703125" customWidth="1"/>
    <col min="5899" max="5899" width="14.5703125" customWidth="1"/>
    <col min="5900" max="5900" width="17.7109375" customWidth="1"/>
    <col min="6146" max="6147" width="8.28515625" customWidth="1"/>
    <col min="6148" max="6148" width="5" customWidth="1"/>
    <col min="6149" max="6149" width="8.28515625" customWidth="1"/>
    <col min="6150" max="6150" width="16.7109375" customWidth="1"/>
    <col min="6151" max="6151" width="17.7109375" customWidth="1"/>
    <col min="6152" max="6152" width="4.7109375" customWidth="1"/>
    <col min="6153" max="6153" width="16.85546875" customWidth="1"/>
    <col min="6154" max="6154" width="1.5703125" customWidth="1"/>
    <col min="6155" max="6155" width="14.5703125" customWidth="1"/>
    <col min="6156" max="6156" width="17.7109375" customWidth="1"/>
    <col min="6402" max="6403" width="8.28515625" customWidth="1"/>
    <col min="6404" max="6404" width="5" customWidth="1"/>
    <col min="6405" max="6405" width="8.28515625" customWidth="1"/>
    <col min="6406" max="6406" width="16.7109375" customWidth="1"/>
    <col min="6407" max="6407" width="17.7109375" customWidth="1"/>
    <col min="6408" max="6408" width="4.7109375" customWidth="1"/>
    <col min="6409" max="6409" width="16.85546875" customWidth="1"/>
    <col min="6410" max="6410" width="1.5703125" customWidth="1"/>
    <col min="6411" max="6411" width="14.5703125" customWidth="1"/>
    <col min="6412" max="6412" width="17.7109375" customWidth="1"/>
    <col min="6658" max="6659" width="8.28515625" customWidth="1"/>
    <col min="6660" max="6660" width="5" customWidth="1"/>
    <col min="6661" max="6661" width="8.28515625" customWidth="1"/>
    <col min="6662" max="6662" width="16.7109375" customWidth="1"/>
    <col min="6663" max="6663" width="17.7109375" customWidth="1"/>
    <col min="6664" max="6664" width="4.7109375" customWidth="1"/>
    <col min="6665" max="6665" width="16.85546875" customWidth="1"/>
    <col min="6666" max="6666" width="1.5703125" customWidth="1"/>
    <col min="6667" max="6667" width="14.5703125" customWidth="1"/>
    <col min="6668" max="6668" width="17.7109375" customWidth="1"/>
    <col min="6914" max="6915" width="8.28515625" customWidth="1"/>
    <col min="6916" max="6916" width="5" customWidth="1"/>
    <col min="6917" max="6917" width="8.28515625" customWidth="1"/>
    <col min="6918" max="6918" width="16.7109375" customWidth="1"/>
    <col min="6919" max="6919" width="17.7109375" customWidth="1"/>
    <col min="6920" max="6920" width="4.7109375" customWidth="1"/>
    <col min="6921" max="6921" width="16.85546875" customWidth="1"/>
    <col min="6922" max="6922" width="1.5703125" customWidth="1"/>
    <col min="6923" max="6923" width="14.5703125" customWidth="1"/>
    <col min="6924" max="6924" width="17.7109375" customWidth="1"/>
    <col min="7170" max="7171" width="8.28515625" customWidth="1"/>
    <col min="7172" max="7172" width="5" customWidth="1"/>
    <col min="7173" max="7173" width="8.28515625" customWidth="1"/>
    <col min="7174" max="7174" width="16.7109375" customWidth="1"/>
    <col min="7175" max="7175" width="17.7109375" customWidth="1"/>
    <col min="7176" max="7176" width="4.7109375" customWidth="1"/>
    <col min="7177" max="7177" width="16.85546875" customWidth="1"/>
    <col min="7178" max="7178" width="1.5703125" customWidth="1"/>
    <col min="7179" max="7179" width="14.5703125" customWidth="1"/>
    <col min="7180" max="7180" width="17.7109375" customWidth="1"/>
    <col min="7426" max="7427" width="8.28515625" customWidth="1"/>
    <col min="7428" max="7428" width="5" customWidth="1"/>
    <col min="7429" max="7429" width="8.28515625" customWidth="1"/>
    <col min="7430" max="7430" width="16.7109375" customWidth="1"/>
    <col min="7431" max="7431" width="17.7109375" customWidth="1"/>
    <col min="7432" max="7432" width="4.7109375" customWidth="1"/>
    <col min="7433" max="7433" width="16.85546875" customWidth="1"/>
    <col min="7434" max="7434" width="1.5703125" customWidth="1"/>
    <col min="7435" max="7435" width="14.5703125" customWidth="1"/>
    <col min="7436" max="7436" width="17.7109375" customWidth="1"/>
    <col min="7682" max="7683" width="8.28515625" customWidth="1"/>
    <col min="7684" max="7684" width="5" customWidth="1"/>
    <col min="7685" max="7685" width="8.28515625" customWidth="1"/>
    <col min="7686" max="7686" width="16.7109375" customWidth="1"/>
    <col min="7687" max="7687" width="17.7109375" customWidth="1"/>
    <col min="7688" max="7688" width="4.7109375" customWidth="1"/>
    <col min="7689" max="7689" width="16.85546875" customWidth="1"/>
    <col min="7690" max="7690" width="1.5703125" customWidth="1"/>
    <col min="7691" max="7691" width="14.5703125" customWidth="1"/>
    <col min="7692" max="7692" width="17.7109375" customWidth="1"/>
    <col min="7938" max="7939" width="8.28515625" customWidth="1"/>
    <col min="7940" max="7940" width="5" customWidth="1"/>
    <col min="7941" max="7941" width="8.28515625" customWidth="1"/>
    <col min="7942" max="7942" width="16.7109375" customWidth="1"/>
    <col min="7943" max="7943" width="17.7109375" customWidth="1"/>
    <col min="7944" max="7944" width="4.7109375" customWidth="1"/>
    <col min="7945" max="7945" width="16.85546875" customWidth="1"/>
    <col min="7946" max="7946" width="1.5703125" customWidth="1"/>
    <col min="7947" max="7947" width="14.5703125" customWidth="1"/>
    <col min="7948" max="7948" width="17.7109375" customWidth="1"/>
    <col min="8194" max="8195" width="8.28515625" customWidth="1"/>
    <col min="8196" max="8196" width="5" customWidth="1"/>
    <col min="8197" max="8197" width="8.28515625" customWidth="1"/>
    <col min="8198" max="8198" width="16.7109375" customWidth="1"/>
    <col min="8199" max="8199" width="17.7109375" customWidth="1"/>
    <col min="8200" max="8200" width="4.7109375" customWidth="1"/>
    <col min="8201" max="8201" width="16.85546875" customWidth="1"/>
    <col min="8202" max="8202" width="1.5703125" customWidth="1"/>
    <col min="8203" max="8203" width="14.5703125" customWidth="1"/>
    <col min="8204" max="8204" width="17.7109375" customWidth="1"/>
    <col min="8450" max="8451" width="8.28515625" customWidth="1"/>
    <col min="8452" max="8452" width="5" customWidth="1"/>
    <col min="8453" max="8453" width="8.28515625" customWidth="1"/>
    <col min="8454" max="8454" width="16.7109375" customWidth="1"/>
    <col min="8455" max="8455" width="17.7109375" customWidth="1"/>
    <col min="8456" max="8456" width="4.7109375" customWidth="1"/>
    <col min="8457" max="8457" width="16.85546875" customWidth="1"/>
    <col min="8458" max="8458" width="1.5703125" customWidth="1"/>
    <col min="8459" max="8459" width="14.5703125" customWidth="1"/>
    <col min="8460" max="8460" width="17.7109375" customWidth="1"/>
    <col min="8706" max="8707" width="8.28515625" customWidth="1"/>
    <col min="8708" max="8708" width="5" customWidth="1"/>
    <col min="8709" max="8709" width="8.28515625" customWidth="1"/>
    <col min="8710" max="8710" width="16.7109375" customWidth="1"/>
    <col min="8711" max="8711" width="17.7109375" customWidth="1"/>
    <col min="8712" max="8712" width="4.7109375" customWidth="1"/>
    <col min="8713" max="8713" width="16.85546875" customWidth="1"/>
    <col min="8714" max="8714" width="1.5703125" customWidth="1"/>
    <col min="8715" max="8715" width="14.5703125" customWidth="1"/>
    <col min="8716" max="8716" width="17.7109375" customWidth="1"/>
    <col min="8962" max="8963" width="8.28515625" customWidth="1"/>
    <col min="8964" max="8964" width="5" customWidth="1"/>
    <col min="8965" max="8965" width="8.28515625" customWidth="1"/>
    <col min="8966" max="8966" width="16.7109375" customWidth="1"/>
    <col min="8967" max="8967" width="17.7109375" customWidth="1"/>
    <col min="8968" max="8968" width="4.7109375" customWidth="1"/>
    <col min="8969" max="8969" width="16.85546875" customWidth="1"/>
    <col min="8970" max="8970" width="1.5703125" customWidth="1"/>
    <col min="8971" max="8971" width="14.5703125" customWidth="1"/>
    <col min="8972" max="8972" width="17.7109375" customWidth="1"/>
    <col min="9218" max="9219" width="8.28515625" customWidth="1"/>
    <col min="9220" max="9220" width="5" customWidth="1"/>
    <col min="9221" max="9221" width="8.28515625" customWidth="1"/>
    <col min="9222" max="9222" width="16.7109375" customWidth="1"/>
    <col min="9223" max="9223" width="17.7109375" customWidth="1"/>
    <col min="9224" max="9224" width="4.7109375" customWidth="1"/>
    <col min="9225" max="9225" width="16.85546875" customWidth="1"/>
    <col min="9226" max="9226" width="1.5703125" customWidth="1"/>
    <col min="9227" max="9227" width="14.5703125" customWidth="1"/>
    <col min="9228" max="9228" width="17.7109375" customWidth="1"/>
    <col min="9474" max="9475" width="8.28515625" customWidth="1"/>
    <col min="9476" max="9476" width="5" customWidth="1"/>
    <col min="9477" max="9477" width="8.28515625" customWidth="1"/>
    <col min="9478" max="9478" width="16.7109375" customWidth="1"/>
    <col min="9479" max="9479" width="17.7109375" customWidth="1"/>
    <col min="9480" max="9480" width="4.7109375" customWidth="1"/>
    <col min="9481" max="9481" width="16.85546875" customWidth="1"/>
    <col min="9482" max="9482" width="1.5703125" customWidth="1"/>
    <col min="9483" max="9483" width="14.5703125" customWidth="1"/>
    <col min="9484" max="9484" width="17.7109375" customWidth="1"/>
    <col min="9730" max="9731" width="8.28515625" customWidth="1"/>
    <col min="9732" max="9732" width="5" customWidth="1"/>
    <col min="9733" max="9733" width="8.28515625" customWidth="1"/>
    <col min="9734" max="9734" width="16.7109375" customWidth="1"/>
    <col min="9735" max="9735" width="17.7109375" customWidth="1"/>
    <col min="9736" max="9736" width="4.7109375" customWidth="1"/>
    <col min="9737" max="9737" width="16.85546875" customWidth="1"/>
    <col min="9738" max="9738" width="1.5703125" customWidth="1"/>
    <col min="9739" max="9739" width="14.5703125" customWidth="1"/>
    <col min="9740" max="9740" width="17.7109375" customWidth="1"/>
    <col min="9986" max="9987" width="8.28515625" customWidth="1"/>
    <col min="9988" max="9988" width="5" customWidth="1"/>
    <col min="9989" max="9989" width="8.28515625" customWidth="1"/>
    <col min="9990" max="9990" width="16.7109375" customWidth="1"/>
    <col min="9991" max="9991" width="17.7109375" customWidth="1"/>
    <col min="9992" max="9992" width="4.7109375" customWidth="1"/>
    <col min="9993" max="9993" width="16.85546875" customWidth="1"/>
    <col min="9994" max="9994" width="1.5703125" customWidth="1"/>
    <col min="9995" max="9995" width="14.5703125" customWidth="1"/>
    <col min="9996" max="9996" width="17.7109375" customWidth="1"/>
    <col min="10242" max="10243" width="8.28515625" customWidth="1"/>
    <col min="10244" max="10244" width="5" customWidth="1"/>
    <col min="10245" max="10245" width="8.28515625" customWidth="1"/>
    <col min="10246" max="10246" width="16.7109375" customWidth="1"/>
    <col min="10247" max="10247" width="17.7109375" customWidth="1"/>
    <col min="10248" max="10248" width="4.7109375" customWidth="1"/>
    <col min="10249" max="10249" width="16.85546875" customWidth="1"/>
    <col min="10250" max="10250" width="1.5703125" customWidth="1"/>
    <col min="10251" max="10251" width="14.5703125" customWidth="1"/>
    <col min="10252" max="10252" width="17.7109375" customWidth="1"/>
    <col min="10498" max="10499" width="8.28515625" customWidth="1"/>
    <col min="10500" max="10500" width="5" customWidth="1"/>
    <col min="10501" max="10501" width="8.28515625" customWidth="1"/>
    <col min="10502" max="10502" width="16.7109375" customWidth="1"/>
    <col min="10503" max="10503" width="17.7109375" customWidth="1"/>
    <col min="10504" max="10504" width="4.7109375" customWidth="1"/>
    <col min="10505" max="10505" width="16.85546875" customWidth="1"/>
    <col min="10506" max="10506" width="1.5703125" customWidth="1"/>
    <col min="10507" max="10507" width="14.5703125" customWidth="1"/>
    <col min="10508" max="10508" width="17.7109375" customWidth="1"/>
    <col min="10754" max="10755" width="8.28515625" customWidth="1"/>
    <col min="10756" max="10756" width="5" customWidth="1"/>
    <col min="10757" max="10757" width="8.28515625" customWidth="1"/>
    <col min="10758" max="10758" width="16.7109375" customWidth="1"/>
    <col min="10759" max="10759" width="17.7109375" customWidth="1"/>
    <col min="10760" max="10760" width="4.7109375" customWidth="1"/>
    <col min="10761" max="10761" width="16.85546875" customWidth="1"/>
    <col min="10762" max="10762" width="1.5703125" customWidth="1"/>
    <col min="10763" max="10763" width="14.5703125" customWidth="1"/>
    <col min="10764" max="10764" width="17.7109375" customWidth="1"/>
    <col min="11010" max="11011" width="8.28515625" customWidth="1"/>
    <col min="11012" max="11012" width="5" customWidth="1"/>
    <col min="11013" max="11013" width="8.28515625" customWidth="1"/>
    <col min="11014" max="11014" width="16.7109375" customWidth="1"/>
    <col min="11015" max="11015" width="17.7109375" customWidth="1"/>
    <col min="11016" max="11016" width="4.7109375" customWidth="1"/>
    <col min="11017" max="11017" width="16.85546875" customWidth="1"/>
    <col min="11018" max="11018" width="1.5703125" customWidth="1"/>
    <col min="11019" max="11019" width="14.5703125" customWidth="1"/>
    <col min="11020" max="11020" width="17.7109375" customWidth="1"/>
    <col min="11266" max="11267" width="8.28515625" customWidth="1"/>
    <col min="11268" max="11268" width="5" customWidth="1"/>
    <col min="11269" max="11269" width="8.28515625" customWidth="1"/>
    <col min="11270" max="11270" width="16.7109375" customWidth="1"/>
    <col min="11271" max="11271" width="17.7109375" customWidth="1"/>
    <col min="11272" max="11272" width="4.7109375" customWidth="1"/>
    <col min="11273" max="11273" width="16.85546875" customWidth="1"/>
    <col min="11274" max="11274" width="1.5703125" customWidth="1"/>
    <col min="11275" max="11275" width="14.5703125" customWidth="1"/>
    <col min="11276" max="11276" width="17.7109375" customWidth="1"/>
    <col min="11522" max="11523" width="8.28515625" customWidth="1"/>
    <col min="11524" max="11524" width="5" customWidth="1"/>
    <col min="11525" max="11525" width="8.28515625" customWidth="1"/>
    <col min="11526" max="11526" width="16.7109375" customWidth="1"/>
    <col min="11527" max="11527" width="17.7109375" customWidth="1"/>
    <col min="11528" max="11528" width="4.7109375" customWidth="1"/>
    <col min="11529" max="11529" width="16.85546875" customWidth="1"/>
    <col min="11530" max="11530" width="1.5703125" customWidth="1"/>
    <col min="11531" max="11531" width="14.5703125" customWidth="1"/>
    <col min="11532" max="11532" width="17.7109375" customWidth="1"/>
    <col min="11778" max="11779" width="8.28515625" customWidth="1"/>
    <col min="11780" max="11780" width="5" customWidth="1"/>
    <col min="11781" max="11781" width="8.28515625" customWidth="1"/>
    <col min="11782" max="11782" width="16.7109375" customWidth="1"/>
    <col min="11783" max="11783" width="17.7109375" customWidth="1"/>
    <col min="11784" max="11784" width="4.7109375" customWidth="1"/>
    <col min="11785" max="11785" width="16.85546875" customWidth="1"/>
    <col min="11786" max="11786" width="1.5703125" customWidth="1"/>
    <col min="11787" max="11787" width="14.5703125" customWidth="1"/>
    <col min="11788" max="11788" width="17.7109375" customWidth="1"/>
    <col min="12034" max="12035" width="8.28515625" customWidth="1"/>
    <col min="12036" max="12036" width="5" customWidth="1"/>
    <col min="12037" max="12037" width="8.28515625" customWidth="1"/>
    <col min="12038" max="12038" width="16.7109375" customWidth="1"/>
    <col min="12039" max="12039" width="17.7109375" customWidth="1"/>
    <col min="12040" max="12040" width="4.7109375" customWidth="1"/>
    <col min="12041" max="12041" width="16.85546875" customWidth="1"/>
    <col min="12042" max="12042" width="1.5703125" customWidth="1"/>
    <col min="12043" max="12043" width="14.5703125" customWidth="1"/>
    <col min="12044" max="12044" width="17.7109375" customWidth="1"/>
    <col min="12290" max="12291" width="8.28515625" customWidth="1"/>
    <col min="12292" max="12292" width="5" customWidth="1"/>
    <col min="12293" max="12293" width="8.28515625" customWidth="1"/>
    <col min="12294" max="12294" width="16.7109375" customWidth="1"/>
    <col min="12295" max="12295" width="17.7109375" customWidth="1"/>
    <col min="12296" max="12296" width="4.7109375" customWidth="1"/>
    <col min="12297" max="12297" width="16.85546875" customWidth="1"/>
    <col min="12298" max="12298" width="1.5703125" customWidth="1"/>
    <col min="12299" max="12299" width="14.5703125" customWidth="1"/>
    <col min="12300" max="12300" width="17.7109375" customWidth="1"/>
    <col min="12546" max="12547" width="8.28515625" customWidth="1"/>
    <col min="12548" max="12548" width="5" customWidth="1"/>
    <col min="12549" max="12549" width="8.28515625" customWidth="1"/>
    <col min="12550" max="12550" width="16.7109375" customWidth="1"/>
    <col min="12551" max="12551" width="17.7109375" customWidth="1"/>
    <col min="12552" max="12552" width="4.7109375" customWidth="1"/>
    <col min="12553" max="12553" width="16.85546875" customWidth="1"/>
    <col min="12554" max="12554" width="1.5703125" customWidth="1"/>
    <col min="12555" max="12555" width="14.5703125" customWidth="1"/>
    <col min="12556" max="12556" width="17.7109375" customWidth="1"/>
    <col min="12802" max="12803" width="8.28515625" customWidth="1"/>
    <col min="12804" max="12804" width="5" customWidth="1"/>
    <col min="12805" max="12805" width="8.28515625" customWidth="1"/>
    <col min="12806" max="12806" width="16.7109375" customWidth="1"/>
    <col min="12807" max="12807" width="17.7109375" customWidth="1"/>
    <col min="12808" max="12808" width="4.7109375" customWidth="1"/>
    <col min="12809" max="12809" width="16.85546875" customWidth="1"/>
    <col min="12810" max="12810" width="1.5703125" customWidth="1"/>
    <col min="12811" max="12811" width="14.5703125" customWidth="1"/>
    <col min="12812" max="12812" width="17.7109375" customWidth="1"/>
    <col min="13058" max="13059" width="8.28515625" customWidth="1"/>
    <col min="13060" max="13060" width="5" customWidth="1"/>
    <col min="13061" max="13061" width="8.28515625" customWidth="1"/>
    <col min="13062" max="13062" width="16.7109375" customWidth="1"/>
    <col min="13063" max="13063" width="17.7109375" customWidth="1"/>
    <col min="13064" max="13064" width="4.7109375" customWidth="1"/>
    <col min="13065" max="13065" width="16.85546875" customWidth="1"/>
    <col min="13066" max="13066" width="1.5703125" customWidth="1"/>
    <col min="13067" max="13067" width="14.5703125" customWidth="1"/>
    <col min="13068" max="13068" width="17.7109375" customWidth="1"/>
    <col min="13314" max="13315" width="8.28515625" customWidth="1"/>
    <col min="13316" max="13316" width="5" customWidth="1"/>
    <col min="13317" max="13317" width="8.28515625" customWidth="1"/>
    <col min="13318" max="13318" width="16.7109375" customWidth="1"/>
    <col min="13319" max="13319" width="17.7109375" customWidth="1"/>
    <col min="13320" max="13320" width="4.7109375" customWidth="1"/>
    <col min="13321" max="13321" width="16.85546875" customWidth="1"/>
    <col min="13322" max="13322" width="1.5703125" customWidth="1"/>
    <col min="13323" max="13323" width="14.5703125" customWidth="1"/>
    <col min="13324" max="13324" width="17.7109375" customWidth="1"/>
    <col min="13570" max="13571" width="8.28515625" customWidth="1"/>
    <col min="13572" max="13572" width="5" customWidth="1"/>
    <col min="13573" max="13573" width="8.28515625" customWidth="1"/>
    <col min="13574" max="13574" width="16.7109375" customWidth="1"/>
    <col min="13575" max="13575" width="17.7109375" customWidth="1"/>
    <col min="13576" max="13576" width="4.7109375" customWidth="1"/>
    <col min="13577" max="13577" width="16.85546875" customWidth="1"/>
    <col min="13578" max="13578" width="1.5703125" customWidth="1"/>
    <col min="13579" max="13579" width="14.5703125" customWidth="1"/>
    <col min="13580" max="13580" width="17.7109375" customWidth="1"/>
    <col min="13826" max="13827" width="8.28515625" customWidth="1"/>
    <col min="13828" max="13828" width="5" customWidth="1"/>
    <col min="13829" max="13829" width="8.28515625" customWidth="1"/>
    <col min="13830" max="13830" width="16.7109375" customWidth="1"/>
    <col min="13831" max="13831" width="17.7109375" customWidth="1"/>
    <col min="13832" max="13832" width="4.7109375" customWidth="1"/>
    <col min="13833" max="13833" width="16.85546875" customWidth="1"/>
    <col min="13834" max="13834" width="1.5703125" customWidth="1"/>
    <col min="13835" max="13835" width="14.5703125" customWidth="1"/>
    <col min="13836" max="13836" width="17.7109375" customWidth="1"/>
    <col min="14082" max="14083" width="8.28515625" customWidth="1"/>
    <col min="14084" max="14084" width="5" customWidth="1"/>
    <col min="14085" max="14085" width="8.28515625" customWidth="1"/>
    <col min="14086" max="14086" width="16.7109375" customWidth="1"/>
    <col min="14087" max="14087" width="17.7109375" customWidth="1"/>
    <col min="14088" max="14088" width="4.7109375" customWidth="1"/>
    <col min="14089" max="14089" width="16.85546875" customWidth="1"/>
    <col min="14090" max="14090" width="1.5703125" customWidth="1"/>
    <col min="14091" max="14091" width="14.5703125" customWidth="1"/>
    <col min="14092" max="14092" width="17.7109375" customWidth="1"/>
    <col min="14338" max="14339" width="8.28515625" customWidth="1"/>
    <col min="14340" max="14340" width="5" customWidth="1"/>
    <col min="14341" max="14341" width="8.28515625" customWidth="1"/>
    <col min="14342" max="14342" width="16.7109375" customWidth="1"/>
    <col min="14343" max="14343" width="17.7109375" customWidth="1"/>
    <col min="14344" max="14344" width="4.7109375" customWidth="1"/>
    <col min="14345" max="14345" width="16.85546875" customWidth="1"/>
    <col min="14346" max="14346" width="1.5703125" customWidth="1"/>
    <col min="14347" max="14347" width="14.5703125" customWidth="1"/>
    <col min="14348" max="14348" width="17.7109375" customWidth="1"/>
    <col min="14594" max="14595" width="8.28515625" customWidth="1"/>
    <col min="14596" max="14596" width="5" customWidth="1"/>
    <col min="14597" max="14597" width="8.28515625" customWidth="1"/>
    <col min="14598" max="14598" width="16.7109375" customWidth="1"/>
    <col min="14599" max="14599" width="17.7109375" customWidth="1"/>
    <col min="14600" max="14600" width="4.7109375" customWidth="1"/>
    <col min="14601" max="14601" width="16.85546875" customWidth="1"/>
    <col min="14602" max="14602" width="1.5703125" customWidth="1"/>
    <col min="14603" max="14603" width="14.5703125" customWidth="1"/>
    <col min="14604" max="14604" width="17.7109375" customWidth="1"/>
    <col min="14850" max="14851" width="8.28515625" customWidth="1"/>
    <col min="14852" max="14852" width="5" customWidth="1"/>
    <col min="14853" max="14853" width="8.28515625" customWidth="1"/>
    <col min="14854" max="14854" width="16.7109375" customWidth="1"/>
    <col min="14855" max="14855" width="17.7109375" customWidth="1"/>
    <col min="14856" max="14856" width="4.7109375" customWidth="1"/>
    <col min="14857" max="14857" width="16.85546875" customWidth="1"/>
    <col min="14858" max="14858" width="1.5703125" customWidth="1"/>
    <col min="14859" max="14859" width="14.5703125" customWidth="1"/>
    <col min="14860" max="14860" width="17.7109375" customWidth="1"/>
    <col min="15106" max="15107" width="8.28515625" customWidth="1"/>
    <col min="15108" max="15108" width="5" customWidth="1"/>
    <col min="15109" max="15109" width="8.28515625" customWidth="1"/>
    <col min="15110" max="15110" width="16.7109375" customWidth="1"/>
    <col min="15111" max="15111" width="17.7109375" customWidth="1"/>
    <col min="15112" max="15112" width="4.7109375" customWidth="1"/>
    <col min="15113" max="15113" width="16.85546875" customWidth="1"/>
    <col min="15114" max="15114" width="1.5703125" customWidth="1"/>
    <col min="15115" max="15115" width="14.5703125" customWidth="1"/>
    <col min="15116" max="15116" width="17.7109375" customWidth="1"/>
    <col min="15362" max="15363" width="8.28515625" customWidth="1"/>
    <col min="15364" max="15364" width="5" customWidth="1"/>
    <col min="15365" max="15365" width="8.28515625" customWidth="1"/>
    <col min="15366" max="15366" width="16.7109375" customWidth="1"/>
    <col min="15367" max="15367" width="17.7109375" customWidth="1"/>
    <col min="15368" max="15368" width="4.7109375" customWidth="1"/>
    <col min="15369" max="15369" width="16.85546875" customWidth="1"/>
    <col min="15370" max="15370" width="1.5703125" customWidth="1"/>
    <col min="15371" max="15371" width="14.5703125" customWidth="1"/>
    <col min="15372" max="15372" width="17.7109375" customWidth="1"/>
    <col min="15618" max="15619" width="8.28515625" customWidth="1"/>
    <col min="15620" max="15620" width="5" customWidth="1"/>
    <col min="15621" max="15621" width="8.28515625" customWidth="1"/>
    <col min="15622" max="15622" width="16.7109375" customWidth="1"/>
    <col min="15623" max="15623" width="17.7109375" customWidth="1"/>
    <col min="15624" max="15624" width="4.7109375" customWidth="1"/>
    <col min="15625" max="15625" width="16.85546875" customWidth="1"/>
    <col min="15626" max="15626" width="1.5703125" customWidth="1"/>
    <col min="15627" max="15627" width="14.5703125" customWidth="1"/>
    <col min="15628" max="15628" width="17.7109375" customWidth="1"/>
    <col min="15874" max="15875" width="8.28515625" customWidth="1"/>
    <col min="15876" max="15876" width="5" customWidth="1"/>
    <col min="15877" max="15877" width="8.28515625" customWidth="1"/>
    <col min="15878" max="15878" width="16.7109375" customWidth="1"/>
    <col min="15879" max="15879" width="17.7109375" customWidth="1"/>
    <col min="15880" max="15880" width="4.7109375" customWidth="1"/>
    <col min="15881" max="15881" width="16.85546875" customWidth="1"/>
    <col min="15882" max="15882" width="1.5703125" customWidth="1"/>
    <col min="15883" max="15883" width="14.5703125" customWidth="1"/>
    <col min="15884" max="15884" width="17.7109375" customWidth="1"/>
    <col min="16130" max="16131" width="8.28515625" customWidth="1"/>
    <col min="16132" max="16132" width="5" customWidth="1"/>
    <col min="16133" max="16133" width="8.28515625" customWidth="1"/>
    <col min="16134" max="16134" width="16.7109375" customWidth="1"/>
    <col min="16135" max="16135" width="17.7109375" customWidth="1"/>
    <col min="16136" max="16136" width="4.7109375" customWidth="1"/>
    <col min="16137" max="16137" width="16.85546875" customWidth="1"/>
    <col min="16138" max="16138" width="1.5703125" customWidth="1"/>
    <col min="16139" max="16139" width="14.5703125" customWidth="1"/>
    <col min="16140" max="16140" width="17.7109375" customWidth="1"/>
  </cols>
  <sheetData>
    <row r="1" spans="1:12" x14ac:dyDescent="0.2">
      <c r="A1" t="s">
        <v>795</v>
      </c>
    </row>
    <row r="3" spans="1:12" ht="15.75" x14ac:dyDescent="0.25">
      <c r="A3" s="17" t="s">
        <v>796</v>
      </c>
    </row>
    <row r="4" spans="1:12" s="600" customFormat="1" ht="15.75" x14ac:dyDescent="0.25">
      <c r="A4" s="1" t="s">
        <v>797</v>
      </c>
      <c r="B4" s="17"/>
      <c r="C4" s="17"/>
      <c r="D4" s="17"/>
      <c r="E4" s="17"/>
      <c r="F4" s="597" t="s">
        <v>798</v>
      </c>
      <c r="G4" s="598" t="s">
        <v>983</v>
      </c>
      <c r="H4" s="596"/>
      <c r="I4" s="599"/>
    </row>
    <row r="5" spans="1:12" s="600" customFormat="1" ht="15.75" x14ac:dyDescent="0.25">
      <c r="A5" s="1"/>
      <c r="B5" s="17"/>
      <c r="C5" s="17"/>
      <c r="D5" s="17"/>
      <c r="E5" s="17"/>
      <c r="F5" s="597"/>
      <c r="G5" s="601"/>
      <c r="H5" s="596"/>
      <c r="I5" s="599"/>
    </row>
    <row r="6" spans="1:12" s="600" customFormat="1" ht="15.75" x14ac:dyDescent="0.25">
      <c r="A6" s="1"/>
      <c r="B6" s="17"/>
      <c r="C6" s="17"/>
      <c r="D6" s="17"/>
      <c r="E6" s="17"/>
      <c r="F6" s="597"/>
      <c r="G6" s="601"/>
      <c r="H6" s="596"/>
      <c r="I6" s="599"/>
    </row>
    <row r="7" spans="1:12" s="600" customFormat="1" ht="15.75" x14ac:dyDescent="0.25">
      <c r="A7" s="1"/>
      <c r="B7" s="17"/>
      <c r="C7" s="17"/>
      <c r="D7" s="17"/>
      <c r="E7" s="17"/>
      <c r="F7" s="597"/>
      <c r="G7" s="601"/>
      <c r="H7" s="573"/>
      <c r="I7" s="599"/>
      <c r="J7" s="752"/>
      <c r="K7" s="752"/>
      <c r="L7" s="752"/>
    </row>
    <row r="8" spans="1:12" s="600" customFormat="1" ht="15.75" x14ac:dyDescent="0.25">
      <c r="B8" s="17"/>
      <c r="C8" s="17"/>
      <c r="D8" s="17"/>
      <c r="E8" s="17"/>
      <c r="G8" s="602" t="s">
        <v>799</v>
      </c>
      <c r="H8" s="573"/>
      <c r="I8" s="603" t="s">
        <v>800</v>
      </c>
    </row>
    <row r="9" spans="1:12" x14ac:dyDescent="0.2">
      <c r="G9" s="604"/>
      <c r="H9" s="573"/>
      <c r="I9" s="605"/>
    </row>
    <row r="10" spans="1:12" ht="16.5" customHeight="1" x14ac:dyDescent="0.25">
      <c r="A10" s="17" t="s">
        <v>775</v>
      </c>
      <c r="B10" t="s">
        <v>801</v>
      </c>
      <c r="E10" t="s">
        <v>802</v>
      </c>
      <c r="G10" s="606">
        <v>729577699.82000005</v>
      </c>
      <c r="I10" s="607">
        <v>683733240.88</v>
      </c>
    </row>
    <row r="11" spans="1:12" ht="16.5" customHeight="1" x14ac:dyDescent="0.2">
      <c r="I11" s="607"/>
    </row>
    <row r="12" spans="1:12" ht="16.5" customHeight="1" x14ac:dyDescent="0.2">
      <c r="B12" t="s">
        <v>803</v>
      </c>
      <c r="E12" t="s">
        <v>804</v>
      </c>
      <c r="G12" s="608">
        <v>5900000</v>
      </c>
      <c r="H12" s="609"/>
      <c r="I12" s="607">
        <v>5900000</v>
      </c>
    </row>
    <row r="13" spans="1:12" ht="16.5" customHeight="1" x14ac:dyDescent="0.2">
      <c r="I13" s="607"/>
    </row>
    <row r="14" spans="1:12" ht="16.5" customHeight="1" x14ac:dyDescent="0.25">
      <c r="A14" s="17" t="s">
        <v>572</v>
      </c>
      <c r="C14" s="610"/>
      <c r="D14" s="610"/>
      <c r="E14" s="610"/>
      <c r="F14" s="610"/>
      <c r="G14" s="606">
        <f>SUM(G10:G12)</f>
        <v>735477699.82000005</v>
      </c>
      <c r="I14" s="611">
        <f>SUM(I10:I12)</f>
        <v>689633240.88</v>
      </c>
    </row>
    <row r="15" spans="1:12" ht="16.5" customHeight="1" x14ac:dyDescent="0.2">
      <c r="I15" s="607"/>
    </row>
    <row r="16" spans="1:12" s="17" customFormat="1" ht="16.5" customHeight="1" x14ac:dyDescent="0.25">
      <c r="C16" s="612" t="s">
        <v>805</v>
      </c>
      <c r="D16" s="612"/>
      <c r="E16" s="612"/>
      <c r="F16" s="613" t="s">
        <v>806</v>
      </c>
      <c r="G16" s="606">
        <v>-43079352.25</v>
      </c>
      <c r="H16" s="614"/>
      <c r="I16" s="14">
        <v>190625980.47</v>
      </c>
    </row>
    <row r="17" spans="1:13" ht="16.5" customHeight="1" x14ac:dyDescent="0.2">
      <c r="I17" s="607"/>
    </row>
    <row r="18" spans="1:13" s="17" customFormat="1" ht="16.5" customHeight="1" x14ac:dyDescent="0.25">
      <c r="A18" s="17" t="s">
        <v>807</v>
      </c>
      <c r="C18" s="612"/>
      <c r="D18" s="612"/>
      <c r="E18" s="612"/>
      <c r="F18" s="612"/>
      <c r="G18" s="615">
        <f>SUM(G14:G16)</f>
        <v>692398347.57000005</v>
      </c>
      <c r="H18" s="614"/>
      <c r="I18" s="616">
        <f>SUM(I14:I16)</f>
        <v>880259221.35000002</v>
      </c>
      <c r="L18" s="14"/>
      <c r="M18" s="2"/>
    </row>
    <row r="19" spans="1:13" ht="16.5" customHeight="1" x14ac:dyDescent="0.2">
      <c r="I19" s="607"/>
      <c r="L19" s="617"/>
    </row>
    <row r="20" spans="1:13" ht="16.5" customHeight="1" x14ac:dyDescent="0.2">
      <c r="I20" s="607"/>
    </row>
    <row r="21" spans="1:13" ht="16.5" customHeight="1" x14ac:dyDescent="0.2">
      <c r="I21" s="607"/>
    </row>
    <row r="22" spans="1:13" ht="16.5" customHeight="1" x14ac:dyDescent="0.25">
      <c r="A22" s="17" t="s">
        <v>562</v>
      </c>
      <c r="B22" t="s">
        <v>801</v>
      </c>
      <c r="E22" t="s">
        <v>808</v>
      </c>
      <c r="G22" s="606">
        <v>686498347.57000005</v>
      </c>
      <c r="I22" s="607">
        <v>874359221.35000002</v>
      </c>
    </row>
    <row r="23" spans="1:13" ht="16.5" customHeight="1" x14ac:dyDescent="0.2">
      <c r="I23" s="607"/>
    </row>
    <row r="24" spans="1:13" ht="16.5" customHeight="1" x14ac:dyDescent="0.2">
      <c r="B24" t="s">
        <v>803</v>
      </c>
      <c r="E24" t="str">
        <f>E12</f>
        <v>ř. 4281</v>
      </c>
      <c r="G24" s="608">
        <f>G12</f>
        <v>5900000</v>
      </c>
      <c r="H24" s="609"/>
      <c r="I24" s="618">
        <f>I12</f>
        <v>5900000</v>
      </c>
    </row>
    <row r="25" spans="1:13" ht="16.5" customHeight="1" x14ac:dyDescent="0.2">
      <c r="I25" s="607"/>
    </row>
    <row r="26" spans="1:13" s="3" customFormat="1" ht="16.5" customHeight="1" x14ac:dyDescent="0.25">
      <c r="A26" s="17" t="s">
        <v>0</v>
      </c>
      <c r="C26" s="619"/>
      <c r="D26" s="619"/>
      <c r="E26" s="619"/>
      <c r="F26" s="619"/>
      <c r="G26" s="615">
        <f>SUM(G22:G24)</f>
        <v>692398347.57000005</v>
      </c>
      <c r="H26" s="614"/>
      <c r="I26" s="620">
        <f>SUM(I22:I24)</f>
        <v>880259221.35000002</v>
      </c>
    </row>
    <row r="27" spans="1:13" x14ac:dyDescent="0.2">
      <c r="I27" s="607"/>
    </row>
    <row r="28" spans="1:13" x14ac:dyDescent="0.2">
      <c r="I28" s="607"/>
    </row>
    <row r="29" spans="1:13" x14ac:dyDescent="0.2">
      <c r="A29" s="236" t="s">
        <v>809</v>
      </c>
      <c r="B29" s="236" t="s">
        <v>810</v>
      </c>
      <c r="E29" s="621" t="s">
        <v>811</v>
      </c>
      <c r="G29" s="595">
        <f>G31-G30</f>
        <v>557480333.59000003</v>
      </c>
      <c r="I29" s="568">
        <f>I31-I30</f>
        <v>664019206.44000006</v>
      </c>
      <c r="K29" s="617"/>
    </row>
    <row r="30" spans="1:13" x14ac:dyDescent="0.2">
      <c r="A30" s="236"/>
      <c r="B30" s="236" t="s">
        <v>812</v>
      </c>
      <c r="E30" t="s">
        <v>813</v>
      </c>
      <c r="G30" s="608">
        <v>134918013.97999999</v>
      </c>
      <c r="I30" s="618">
        <v>216240014.91</v>
      </c>
      <c r="L30" s="617"/>
    </row>
    <row r="31" spans="1:13" x14ac:dyDescent="0.2">
      <c r="A31" t="s">
        <v>814</v>
      </c>
      <c r="G31" s="595">
        <f>G26</f>
        <v>692398347.57000005</v>
      </c>
      <c r="I31" s="568">
        <f>I26</f>
        <v>880259221.35000002</v>
      </c>
      <c r="L31" s="617"/>
    </row>
    <row r="32" spans="1:13" x14ac:dyDescent="0.2">
      <c r="I32" s="607"/>
    </row>
    <row r="33" spans="1:9" x14ac:dyDescent="0.2">
      <c r="G33" s="604"/>
      <c r="H33" s="573"/>
      <c r="I33" s="605"/>
    </row>
    <row r="34" spans="1:9" x14ac:dyDescent="0.2">
      <c r="G34" s="604"/>
      <c r="H34" s="573"/>
      <c r="I34" s="605"/>
    </row>
    <row r="35" spans="1:9" x14ac:dyDescent="0.2">
      <c r="A35" t="s">
        <v>815</v>
      </c>
      <c r="E35" t="s">
        <v>816</v>
      </c>
      <c r="G35" s="595">
        <v>1242550318.1199999</v>
      </c>
      <c r="I35" s="607">
        <v>104950880.22</v>
      </c>
    </row>
    <row r="36" spans="1:9" x14ac:dyDescent="0.2">
      <c r="I36" s="607"/>
    </row>
    <row r="37" spans="1:9" x14ac:dyDescent="0.2">
      <c r="E37" t="s">
        <v>817</v>
      </c>
      <c r="G37" s="595">
        <v>0</v>
      </c>
      <c r="I37" s="607">
        <v>0</v>
      </c>
    </row>
    <row r="38" spans="1:9" x14ac:dyDescent="0.2">
      <c r="E38" t="s">
        <v>818</v>
      </c>
      <c r="G38" s="595">
        <v>1143514325</v>
      </c>
      <c r="I38" s="596">
        <f>I12</f>
        <v>5900000</v>
      </c>
    </row>
    <row r="39" spans="1:9" x14ac:dyDescent="0.2">
      <c r="E39" t="s">
        <v>819</v>
      </c>
      <c r="G39" s="608">
        <v>0</v>
      </c>
      <c r="I39" s="622">
        <v>0</v>
      </c>
    </row>
    <row r="40" spans="1:9" x14ac:dyDescent="0.2">
      <c r="I40" s="607"/>
    </row>
    <row r="41" spans="1:9" x14ac:dyDescent="0.2">
      <c r="A41" t="s">
        <v>820</v>
      </c>
      <c r="F41" t="s">
        <v>821</v>
      </c>
      <c r="G41" s="595">
        <f>SUM(G37:G40)</f>
        <v>1143514325</v>
      </c>
      <c r="I41" s="568">
        <f>SUM(I37:I40)</f>
        <v>5900000</v>
      </c>
    </row>
    <row r="42" spans="1:9" x14ac:dyDescent="0.2">
      <c r="I42" s="568"/>
    </row>
    <row r="43" spans="1:9" x14ac:dyDescent="0.2">
      <c r="A43" s="623" t="s">
        <v>822</v>
      </c>
      <c r="G43" s="595">
        <f>G35-G41</f>
        <v>99035993.119999886</v>
      </c>
      <c r="I43" s="568">
        <f>I35-I41</f>
        <v>99050880.219999999</v>
      </c>
    </row>
    <row r="44" spans="1:9" ht="16.5" customHeight="1" x14ac:dyDescent="0.2">
      <c r="B44" t="s">
        <v>803</v>
      </c>
      <c r="G44" s="608">
        <f>G12</f>
        <v>5900000</v>
      </c>
      <c r="H44" s="609"/>
      <c r="I44" s="618">
        <f>I12</f>
        <v>5900000</v>
      </c>
    </row>
    <row r="45" spans="1:9" x14ac:dyDescent="0.2">
      <c r="I45" s="568"/>
    </row>
    <row r="46" spans="1:9" ht="15.75" x14ac:dyDescent="0.25">
      <c r="A46" s="624" t="s">
        <v>823</v>
      </c>
      <c r="G46" s="625">
        <f>SUM(G43:G45)</f>
        <v>104935993.11999989</v>
      </c>
      <c r="I46" s="626">
        <f>SUM(I43:I45)</f>
        <v>104950880.22</v>
      </c>
    </row>
    <row r="49" spans="1:11" x14ac:dyDescent="0.2">
      <c r="C49" s="106"/>
    </row>
    <row r="50" spans="1:11" x14ac:dyDescent="0.2">
      <c r="A50" s="106" t="s">
        <v>824</v>
      </c>
      <c r="B50" s="106"/>
      <c r="C50" s="757">
        <v>44599</v>
      </c>
      <c r="D50" s="757"/>
      <c r="G50" s="604"/>
      <c r="H50" s="573"/>
      <c r="I50" s="106"/>
      <c r="J50" s="106"/>
      <c r="K50" s="106"/>
    </row>
    <row r="51" spans="1:11" x14ac:dyDescent="0.2">
      <c r="G51" s="604"/>
      <c r="H51" s="573"/>
      <c r="I51" s="106"/>
    </row>
    <row r="52" spans="1:11" ht="12.75" x14ac:dyDescent="0.2">
      <c r="G52" s="602" t="s">
        <v>799</v>
      </c>
      <c r="H52" s="573"/>
      <c r="I52" s="602" t="s">
        <v>825</v>
      </c>
    </row>
    <row r="53" spans="1:11" ht="14.25" x14ac:dyDescent="0.2">
      <c r="A53" t="s">
        <v>775</v>
      </c>
      <c r="B53" t="s">
        <v>826</v>
      </c>
      <c r="E53" t="s">
        <v>827</v>
      </c>
      <c r="F53" s="669"/>
      <c r="G53" s="670">
        <v>424587638.06999999</v>
      </c>
      <c r="I53" s="596">
        <v>393127192.01999998</v>
      </c>
    </row>
    <row r="54" spans="1:11" ht="14.25" x14ac:dyDescent="0.2">
      <c r="B54" t="s">
        <v>828</v>
      </c>
      <c r="E54" t="s">
        <v>829</v>
      </c>
      <c r="F54" s="669"/>
      <c r="G54" s="670">
        <v>136159996.74000001</v>
      </c>
      <c r="I54" s="596">
        <v>133637638.64</v>
      </c>
    </row>
    <row r="55" spans="1:11" ht="14.25" x14ac:dyDescent="0.2">
      <c r="B55" t="s">
        <v>830</v>
      </c>
      <c r="E55" t="s">
        <v>831</v>
      </c>
      <c r="F55" s="669"/>
      <c r="G55" s="670">
        <v>69794071.890000001</v>
      </c>
      <c r="I55" s="596">
        <v>57917530</v>
      </c>
    </row>
    <row r="56" spans="1:11" ht="14.25" x14ac:dyDescent="0.2">
      <c r="B56" t="s">
        <v>832</v>
      </c>
      <c r="C56" t="s">
        <v>833</v>
      </c>
      <c r="F56" s="669"/>
      <c r="G56" s="671">
        <f>G46</f>
        <v>104935993.11999989</v>
      </c>
      <c r="I56" s="618">
        <f>I46</f>
        <v>104950880.22</v>
      </c>
    </row>
    <row r="57" spans="1:11" ht="14.25" x14ac:dyDescent="0.2">
      <c r="A57" t="s">
        <v>572</v>
      </c>
      <c r="F57" s="669"/>
      <c r="G57" s="670">
        <f>SUM(G53:G56)</f>
        <v>735477699.81999981</v>
      </c>
      <c r="I57" s="596">
        <f>SUM(I53:I56)</f>
        <v>689633240.88</v>
      </c>
    </row>
    <row r="58" spans="1:11" ht="14.25" x14ac:dyDescent="0.2">
      <c r="B58" t="s">
        <v>834</v>
      </c>
      <c r="F58" s="669"/>
      <c r="G58" s="672">
        <f>G16</f>
        <v>-43079352.25</v>
      </c>
      <c r="I58" s="627">
        <f>I16</f>
        <v>190625980.47</v>
      </c>
    </row>
    <row r="59" spans="1:11" ht="14.25" x14ac:dyDescent="0.2">
      <c r="F59" s="669"/>
      <c r="G59" s="670"/>
      <c r="I59" s="596"/>
    </row>
    <row r="60" spans="1:11" x14ac:dyDescent="0.25">
      <c r="A60" s="236" t="s">
        <v>807</v>
      </c>
      <c r="C60" s="610"/>
      <c r="D60" s="610"/>
      <c r="E60" s="610"/>
      <c r="F60" s="673"/>
      <c r="G60" s="674">
        <f>SUM(G57:G59)</f>
        <v>692398347.56999981</v>
      </c>
      <c r="I60" s="596">
        <f>SUM(I57:I58)</f>
        <v>880259221.35000002</v>
      </c>
    </row>
    <row r="61" spans="1:11" ht="14.25" x14ac:dyDescent="0.2">
      <c r="F61" s="669"/>
      <c r="G61" s="675"/>
      <c r="H61" s="573"/>
      <c r="I61" s="573"/>
      <c r="J61" s="106"/>
      <c r="K61" s="106"/>
    </row>
    <row r="62" spans="1:11" ht="14.25" x14ac:dyDescent="0.2">
      <c r="A62" t="s">
        <v>562</v>
      </c>
      <c r="B62" s="628" t="s">
        <v>835</v>
      </c>
      <c r="C62" s="629"/>
      <c r="D62" s="629"/>
      <c r="E62" s="629"/>
      <c r="F62" s="676">
        <f>SUM(G63:G66)</f>
        <v>44927714.149999999</v>
      </c>
      <c r="G62" s="675"/>
      <c r="H62" s="573"/>
      <c r="I62" s="602"/>
      <c r="K62" s="617">
        <f>SUM(I63:I66)</f>
        <v>51591620.950000003</v>
      </c>
    </row>
    <row r="63" spans="1:11" ht="14.25" x14ac:dyDescent="0.2">
      <c r="A63" t="s">
        <v>836</v>
      </c>
      <c r="B63" s="630"/>
      <c r="C63" s="631">
        <v>102</v>
      </c>
      <c r="D63" s="610"/>
      <c r="E63" s="610"/>
      <c r="F63" s="673"/>
      <c r="G63" s="677">
        <v>1070458.81</v>
      </c>
      <c r="I63" s="632">
        <v>1985000</v>
      </c>
    </row>
    <row r="64" spans="1:11" ht="14.25" x14ac:dyDescent="0.2">
      <c r="B64" s="633"/>
      <c r="C64" s="634">
        <v>110</v>
      </c>
      <c r="D64" s="635"/>
      <c r="E64" s="635"/>
      <c r="F64" s="678"/>
      <c r="G64" s="677">
        <v>30319437.59</v>
      </c>
      <c r="I64" s="632">
        <v>32279572.620000001</v>
      </c>
    </row>
    <row r="65" spans="2:12" ht="14.25" x14ac:dyDescent="0.2">
      <c r="B65" s="633"/>
      <c r="C65" s="634">
        <v>120</v>
      </c>
      <c r="D65" s="635"/>
      <c r="E65" s="635"/>
      <c r="F65" s="678"/>
      <c r="G65" s="677">
        <v>1588266</v>
      </c>
      <c r="I65" s="632">
        <v>2334000</v>
      </c>
    </row>
    <row r="66" spans="2:12" ht="14.25" x14ac:dyDescent="0.2">
      <c r="B66" s="633"/>
      <c r="C66" s="634">
        <v>139</v>
      </c>
      <c r="D66" s="635"/>
      <c r="E66" s="635"/>
      <c r="F66" s="678"/>
      <c r="G66" s="677">
        <v>11949551.75</v>
      </c>
      <c r="I66" s="632">
        <v>14993048.33</v>
      </c>
    </row>
    <row r="67" spans="2:12" ht="14.25" x14ac:dyDescent="0.2">
      <c r="B67" s="628" t="s">
        <v>837</v>
      </c>
      <c r="C67" s="629"/>
      <c r="D67" s="629"/>
      <c r="E67" s="629"/>
      <c r="F67" s="676">
        <f>SUM(G68:G72)</f>
        <v>58559569.43</v>
      </c>
      <c r="G67" s="675"/>
      <c r="H67" s="573"/>
      <c r="I67" s="602"/>
      <c r="K67" s="617">
        <f>SUM(I68:I72)</f>
        <v>74499500</v>
      </c>
    </row>
    <row r="68" spans="2:12" ht="14.25" x14ac:dyDescent="0.2">
      <c r="B68" s="630"/>
      <c r="C68" s="631">
        <v>602</v>
      </c>
      <c r="D68" s="610"/>
      <c r="E68" s="610"/>
      <c r="F68" s="673"/>
      <c r="G68" s="677">
        <v>3474979.5</v>
      </c>
      <c r="I68" s="632">
        <v>4330000</v>
      </c>
    </row>
    <row r="69" spans="2:12" ht="14.25" x14ac:dyDescent="0.2">
      <c r="B69" s="633"/>
      <c r="C69" s="634">
        <v>610</v>
      </c>
      <c r="D69" s="635"/>
      <c r="E69" s="635"/>
      <c r="F69" s="678"/>
      <c r="G69" s="677">
        <v>31864376.84</v>
      </c>
      <c r="I69" s="632">
        <v>38030000</v>
      </c>
    </row>
    <row r="70" spans="2:12" ht="14.25" x14ac:dyDescent="0.2">
      <c r="B70" s="633"/>
      <c r="C70" s="634">
        <v>615</v>
      </c>
      <c r="D70" s="635"/>
      <c r="E70" s="635"/>
      <c r="F70" s="678"/>
      <c r="G70" s="677">
        <v>1869803.98</v>
      </c>
      <c r="I70" s="632">
        <v>4095000</v>
      </c>
    </row>
    <row r="71" spans="2:12" ht="14.25" x14ac:dyDescent="0.2">
      <c r="B71" s="633"/>
      <c r="C71" s="634">
        <v>639</v>
      </c>
      <c r="D71" s="635"/>
      <c r="E71" s="635"/>
      <c r="F71" s="678"/>
      <c r="G71" s="677">
        <v>21212262.109999999</v>
      </c>
      <c r="I71" s="632">
        <v>27872000</v>
      </c>
    </row>
    <row r="72" spans="2:12" ht="14.25" x14ac:dyDescent="0.2">
      <c r="B72" s="633"/>
      <c r="C72" s="634">
        <v>641</v>
      </c>
      <c r="D72" s="635"/>
      <c r="E72" s="635"/>
      <c r="F72" s="678"/>
      <c r="G72" s="677">
        <v>138147</v>
      </c>
      <c r="I72" s="632">
        <v>172500</v>
      </c>
    </row>
    <row r="73" spans="2:12" ht="14.25" x14ac:dyDescent="0.2">
      <c r="B73" s="636" t="s">
        <v>838</v>
      </c>
      <c r="C73" s="637"/>
      <c r="D73" s="70"/>
      <c r="E73" s="70"/>
      <c r="F73" s="679"/>
      <c r="G73" s="680">
        <v>2636838</v>
      </c>
      <c r="I73" s="638">
        <v>2714871</v>
      </c>
      <c r="K73" s="617"/>
    </row>
    <row r="74" spans="2:12" ht="14.25" x14ac:dyDescent="0.2">
      <c r="B74" s="636" t="s">
        <v>839</v>
      </c>
      <c r="C74" s="637"/>
      <c r="D74" s="70"/>
      <c r="E74" s="70"/>
      <c r="F74" s="679"/>
      <c r="G74" s="680">
        <v>8746727.4499999993</v>
      </c>
      <c r="I74" s="638">
        <v>9451752</v>
      </c>
      <c r="K74" s="617"/>
    </row>
    <row r="75" spans="2:12" ht="14.25" x14ac:dyDescent="0.2">
      <c r="B75" s="639">
        <v>210</v>
      </c>
      <c r="C75" s="637"/>
      <c r="D75" s="70"/>
      <c r="E75" s="70"/>
      <c r="F75" s="679"/>
      <c r="G75" s="680">
        <v>6675428</v>
      </c>
      <c r="I75" s="638">
        <v>6727658</v>
      </c>
      <c r="K75" s="617"/>
    </row>
    <row r="76" spans="2:12" ht="14.25" x14ac:dyDescent="0.2">
      <c r="B76" s="640">
        <v>313</v>
      </c>
      <c r="C76" s="634"/>
      <c r="D76" s="635"/>
      <c r="E76" s="635"/>
      <c r="F76" s="678"/>
      <c r="G76" s="677">
        <v>47442.95</v>
      </c>
      <c r="I76" s="632">
        <v>112000</v>
      </c>
    </row>
    <row r="77" spans="2:12" ht="14.25" x14ac:dyDescent="0.2">
      <c r="B77" s="641">
        <v>317</v>
      </c>
      <c r="C77" s="642"/>
      <c r="D77" s="643"/>
      <c r="E77" s="643"/>
      <c r="F77" s="681"/>
      <c r="G77" s="682">
        <v>738547.49</v>
      </c>
      <c r="I77" s="644">
        <v>740709.65</v>
      </c>
    </row>
    <row r="78" spans="2:12" ht="14.25" x14ac:dyDescent="0.2">
      <c r="B78" s="628" t="s">
        <v>840</v>
      </c>
      <c r="C78" s="645"/>
      <c r="D78" s="629"/>
      <c r="E78" s="629"/>
      <c r="F78" s="676">
        <f>SUM(G79:G81)</f>
        <v>143124638.78999999</v>
      </c>
      <c r="G78" s="683"/>
      <c r="I78" s="646"/>
      <c r="K78" s="617">
        <f>SUM(I79:I81)</f>
        <v>144564618.49000001</v>
      </c>
      <c r="L78" s="602"/>
    </row>
    <row r="79" spans="2:12" ht="14.25" x14ac:dyDescent="0.2">
      <c r="B79" s="633"/>
      <c r="C79" s="634">
        <v>414</v>
      </c>
      <c r="D79" s="635"/>
      <c r="E79" s="635"/>
      <c r="F79" s="678"/>
      <c r="G79" s="677">
        <v>72511989.859999999</v>
      </c>
      <c r="I79" s="632">
        <v>72524481.810000002</v>
      </c>
    </row>
    <row r="80" spans="2:12" ht="14.25" x14ac:dyDescent="0.2">
      <c r="B80" s="633"/>
      <c r="C80" s="634">
        <v>416</v>
      </c>
      <c r="D80" s="635"/>
      <c r="E80" s="635"/>
      <c r="F80" s="678"/>
      <c r="G80" s="677">
        <v>52269026.729999997</v>
      </c>
      <c r="I80" s="632">
        <v>53222851.68</v>
      </c>
    </row>
    <row r="81" spans="1:14" ht="14.25" x14ac:dyDescent="0.2">
      <c r="B81" s="647"/>
      <c r="C81" s="648">
        <v>441</v>
      </c>
      <c r="D81" s="649"/>
      <c r="E81" s="649"/>
      <c r="F81" s="684"/>
      <c r="G81" s="685">
        <v>18343622.199999999</v>
      </c>
      <c r="I81" s="650">
        <v>18817285</v>
      </c>
    </row>
    <row r="82" spans="1:14" ht="14.25" x14ac:dyDescent="0.2">
      <c r="B82" s="636" t="s">
        <v>841</v>
      </c>
      <c r="C82" s="637"/>
      <c r="D82" s="651"/>
      <c r="E82" s="70"/>
      <c r="F82" s="679"/>
      <c r="G82" s="680">
        <v>22749930.84</v>
      </c>
      <c r="I82" s="638">
        <v>24224500</v>
      </c>
      <c r="K82" s="617"/>
    </row>
    <row r="83" spans="1:14" ht="14.25" x14ac:dyDescent="0.2">
      <c r="B83" s="652" t="s">
        <v>842</v>
      </c>
      <c r="C83" s="642"/>
      <c r="D83" s="653"/>
      <c r="E83" s="643"/>
      <c r="F83" s="681"/>
      <c r="G83" s="682">
        <v>26056398.27</v>
      </c>
      <c r="I83" s="644">
        <v>34705630.560000002</v>
      </c>
      <c r="K83" s="617"/>
    </row>
    <row r="84" spans="1:14" ht="14.25" x14ac:dyDescent="0.2">
      <c r="B84" s="641">
        <v>919</v>
      </c>
      <c r="C84" s="642"/>
      <c r="D84" s="653"/>
      <c r="E84" s="643"/>
      <c r="F84" s="681"/>
      <c r="G84" s="682">
        <v>143151123.87</v>
      </c>
      <c r="I84" s="644">
        <v>153561427</v>
      </c>
      <c r="K84" s="617"/>
      <c r="N84" s="731"/>
    </row>
    <row r="85" spans="1:14" ht="14.25" x14ac:dyDescent="0.2">
      <c r="B85" s="654" t="s">
        <v>843</v>
      </c>
      <c r="C85" s="655"/>
      <c r="D85" s="656"/>
      <c r="E85" s="656"/>
      <c r="F85" s="686">
        <f>SUM(G86:G87)</f>
        <v>9867099.8399999999</v>
      </c>
      <c r="G85" s="687"/>
      <c r="I85" s="657"/>
      <c r="K85" s="617">
        <f>SUM(I86:I87)</f>
        <v>10885956</v>
      </c>
    </row>
    <row r="86" spans="1:14" ht="14.25" x14ac:dyDescent="0.2">
      <c r="B86" s="633"/>
      <c r="C86" s="634">
        <v>528</v>
      </c>
      <c r="D86" s="635"/>
      <c r="E86" s="635"/>
      <c r="F86" s="678"/>
      <c r="G86" s="677">
        <v>2588539.84</v>
      </c>
      <c r="I86" s="658">
        <v>3015668</v>
      </c>
    </row>
    <row r="87" spans="1:14" ht="14.25" x14ac:dyDescent="0.2">
      <c r="B87" s="652"/>
      <c r="C87" s="642">
        <v>541</v>
      </c>
      <c r="D87" s="643"/>
      <c r="E87" s="643"/>
      <c r="F87" s="681"/>
      <c r="G87" s="682">
        <v>7278560</v>
      </c>
      <c r="I87" s="659">
        <v>7870288</v>
      </c>
    </row>
    <row r="88" spans="1:14" ht="14.25" x14ac:dyDescent="0.2">
      <c r="B88" s="636" t="s">
        <v>844</v>
      </c>
      <c r="C88" s="637"/>
      <c r="D88" s="70"/>
      <c r="E88" s="70"/>
      <c r="F88" s="679"/>
      <c r="G88" s="680">
        <v>15420188.73</v>
      </c>
      <c r="I88" s="660">
        <v>20952447</v>
      </c>
      <c r="K88" s="617">
        <f>SUM(I88)</f>
        <v>20952447</v>
      </c>
    </row>
    <row r="89" spans="1:14" ht="14.25" x14ac:dyDescent="0.2">
      <c r="B89" s="636" t="s">
        <v>845</v>
      </c>
      <c r="C89" s="637"/>
      <c r="D89" s="70"/>
      <c r="E89" s="70"/>
      <c r="F89" s="679"/>
      <c r="G89" s="680">
        <v>45649097.359999999</v>
      </c>
      <c r="I89" s="638">
        <v>48709145.5</v>
      </c>
      <c r="K89" s="617">
        <f>SUM(I89)</f>
        <v>48709145.5</v>
      </c>
    </row>
    <row r="90" spans="1:14" ht="14.25" x14ac:dyDescent="0.2">
      <c r="B90" s="636" t="s">
        <v>846</v>
      </c>
      <c r="C90" s="637"/>
      <c r="E90" s="651"/>
      <c r="F90" s="679"/>
      <c r="G90" s="680">
        <v>124882405.56</v>
      </c>
      <c r="I90" s="638">
        <v>205758852.30000001</v>
      </c>
      <c r="K90" s="617">
        <f>SUM(I90)</f>
        <v>205758852.30000001</v>
      </c>
    </row>
    <row r="91" spans="1:14" ht="14.25" x14ac:dyDescent="0.2">
      <c r="B91" s="636" t="s">
        <v>847</v>
      </c>
      <c r="C91" s="637"/>
      <c r="D91" s="70"/>
      <c r="E91" s="70"/>
      <c r="F91" s="679"/>
      <c r="G91" s="680">
        <v>102730</v>
      </c>
      <c r="I91" s="638">
        <v>550000</v>
      </c>
      <c r="K91" s="617">
        <f>SUM(I91)</f>
        <v>550000</v>
      </c>
    </row>
    <row r="92" spans="1:14" ht="14.25" x14ac:dyDescent="0.2">
      <c r="B92" s="661">
        <v>741</v>
      </c>
      <c r="C92" s="655"/>
      <c r="D92" s="656"/>
      <c r="E92" s="656"/>
      <c r="F92" s="686"/>
      <c r="G92" s="687">
        <v>39062466.810000002</v>
      </c>
      <c r="I92" s="657">
        <v>90428532.900000006</v>
      </c>
      <c r="K92" s="617">
        <f>SUM(I92)</f>
        <v>90428532.900000006</v>
      </c>
    </row>
    <row r="93" spans="1:14" ht="14.25" x14ac:dyDescent="0.2">
      <c r="B93" s="652"/>
      <c r="C93" s="643"/>
      <c r="D93" s="643"/>
      <c r="E93" s="643"/>
      <c r="F93" s="681"/>
      <c r="G93" s="671"/>
      <c r="I93" s="644"/>
    </row>
    <row r="94" spans="1:14" x14ac:dyDescent="0.25">
      <c r="A94" t="s">
        <v>0</v>
      </c>
      <c r="C94" s="610"/>
      <c r="D94" s="610"/>
      <c r="E94" s="610"/>
      <c r="F94" s="673"/>
      <c r="G94" s="674">
        <f>SUM(G62:G92)</f>
        <v>692398347.53999996</v>
      </c>
      <c r="I94" s="627">
        <f>SUM(I62:I92)</f>
        <v>880179221.35000002</v>
      </c>
    </row>
    <row r="96" spans="1:14" ht="14.25" x14ac:dyDescent="0.2">
      <c r="B96" t="s">
        <v>848</v>
      </c>
      <c r="G96" s="688">
        <f>G60-G94</f>
        <v>2.9999852180480957E-2</v>
      </c>
      <c r="H96" s="662"/>
      <c r="I96" s="688">
        <f>I60-I94</f>
        <v>80000</v>
      </c>
    </row>
    <row r="97" spans="2:9" x14ac:dyDescent="0.2">
      <c r="H97" s="602" t="s">
        <v>849</v>
      </c>
      <c r="I97" s="731"/>
    </row>
    <row r="99" spans="2:9" x14ac:dyDescent="0.2">
      <c r="G99" s="739"/>
      <c r="H99" s="738"/>
      <c r="I99" s="740"/>
    </row>
    <row r="100" spans="2:9" ht="12.75" x14ac:dyDescent="0.2">
      <c r="B100" t="s">
        <v>850</v>
      </c>
      <c r="D100" s="740" t="s">
        <v>851</v>
      </c>
      <c r="E100" t="s">
        <v>852</v>
      </c>
      <c r="G100" s="663">
        <v>1175748821.77</v>
      </c>
      <c r="I100" s="663">
        <v>90428532.900000006</v>
      </c>
    </row>
    <row r="101" spans="2:9" ht="12.75" x14ac:dyDescent="0.2">
      <c r="C101" s="610"/>
      <c r="D101" s="610"/>
      <c r="E101" s="610" t="s">
        <v>853</v>
      </c>
      <c r="F101" s="610" t="s">
        <v>854</v>
      </c>
      <c r="G101" s="664">
        <v>-1136686354.96</v>
      </c>
      <c r="I101" s="664">
        <v>0</v>
      </c>
    </row>
    <row r="102" spans="2:9" ht="12.75" x14ac:dyDescent="0.2">
      <c r="B102" t="s">
        <v>855</v>
      </c>
      <c r="G102" s="663">
        <f>SUM(G100:G101)</f>
        <v>39062466.809999943</v>
      </c>
      <c r="I102" s="663">
        <f>SUM(I100:I101)</f>
        <v>90428532.900000006</v>
      </c>
    </row>
    <row r="103" spans="2:9" ht="12.75" x14ac:dyDescent="0.2">
      <c r="G103" s="568"/>
      <c r="I103" s="1"/>
    </row>
    <row r="104" spans="2:9" ht="12.75" x14ac:dyDescent="0.2">
      <c r="G104" s="596"/>
      <c r="I104" s="1"/>
    </row>
    <row r="105" spans="2:9" ht="12.75" x14ac:dyDescent="0.2">
      <c r="B105" t="s">
        <v>928</v>
      </c>
      <c r="G105" s="573"/>
      <c r="I105" s="1"/>
    </row>
    <row r="106" spans="2:9" ht="12.75" x14ac:dyDescent="0.2">
      <c r="B106" t="s">
        <v>926</v>
      </c>
      <c r="G106" s="573"/>
      <c r="I106" s="1"/>
    </row>
    <row r="107" spans="2:9" ht="12.75" x14ac:dyDescent="0.2">
      <c r="B107" t="s">
        <v>927</v>
      </c>
      <c r="G107" s="573"/>
    </row>
  </sheetData>
  <mergeCells count="1">
    <mergeCell ref="C50:D50"/>
  </mergeCells>
  <pageMargins left="0.78740157480314965" right="0.35433070866141736" top="0.98425196850393704" bottom="0.98425196850393704" header="0.51181102362204722" footer="0.51181102362204722"/>
  <pageSetup paperSize="9" scale="80" orientation="portrait" r:id="rId1"/>
  <headerFooter alignWithMargins="0"/>
  <rowBreaks count="1" manualBreakCount="1">
    <brk id="5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6</vt:i4>
      </vt:variant>
      <vt:variant>
        <vt:lpstr>Pojmenované oblasti</vt:lpstr>
      </vt:variant>
      <vt:variant>
        <vt:i4>8</vt:i4>
      </vt:variant>
    </vt:vector>
  </HeadingPairs>
  <TitlesOfParts>
    <vt:vector size="14" baseType="lpstr">
      <vt:lpstr>1.pol.21</vt:lpstr>
      <vt:lpstr>1.pol.21koncept</vt:lpstr>
      <vt:lpstr>dle040-I.</vt:lpstr>
      <vt:lpstr>rok21</vt:lpstr>
      <vt:lpstr>rok21koncept</vt:lpstr>
      <vt:lpstr>dle040-II.</vt:lpstr>
      <vt:lpstr>'1.pol.21'!Názvy_tisku</vt:lpstr>
      <vt:lpstr>'1.pol.21koncept'!Názvy_tisku</vt:lpstr>
      <vt:lpstr>'rok21'!Názvy_tisku</vt:lpstr>
      <vt:lpstr>rok21koncept!Názvy_tisku</vt:lpstr>
      <vt:lpstr>'1.pol.21'!Oblast_tisku</vt:lpstr>
      <vt:lpstr>'1.pol.21koncept'!Oblast_tisku</vt:lpstr>
      <vt:lpstr>'rok21'!Oblast_tisku</vt:lpstr>
      <vt:lpstr>rok21koncept!Oblast_tisku</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Jana Holíková</dc:creator>
  <cp:lastModifiedBy>Jana Holíková</cp:lastModifiedBy>
  <cp:lastPrinted>2022-02-25T11:04:11Z</cp:lastPrinted>
  <dcterms:created xsi:type="dcterms:W3CDTF">2021-05-06T05:51:36Z</dcterms:created>
  <dcterms:modified xsi:type="dcterms:W3CDTF">2022-02-25T11:04:59Z</dcterms:modified>
</cp:coreProperties>
</file>